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735075D9-EBE5-E94A-8F92-E836F42524CD}" xr6:coauthVersionLast="47" xr6:coauthVersionMax="47" xr10:uidLastSave="{00000000-0000-0000-0000-000000000000}"/>
  <bookViews>
    <workbookView xWindow="22160" yWindow="500" windowWidth="29040" windowHeight="18240" tabRatio="509" activeTab="1" xr2:uid="{00000000-000D-0000-FFFF-FFFF00000000}"/>
  </bookViews>
  <sheets>
    <sheet name="Control Entry" sheetId="1" r:id="rId1"/>
    <sheet name="Control Card" sheetId="2" r:id="rId2"/>
  </sheets>
  <definedNames>
    <definedName name="Address_1">#REF!</definedName>
    <definedName name="Address_2">#REF!</definedName>
    <definedName name="brevet">'Control Entry'!$C$1</definedName>
    <definedName name="Brevet_Description">'Control Entry'!$B$3</definedName>
    <definedName name="Brevet_Length">'Control Entry'!$B$1</definedName>
    <definedName name="Brevet_Number">'Control Entry'!$B$4</definedName>
    <definedName name="City">#REF!</definedName>
    <definedName name="Close">'Control Entry'!$J$10:$J$19</definedName>
    <definedName name="Close_time">'Control Entry'!$L$10:$L$19</definedName>
    <definedName name="Control_1">'Control Entry'!$D$10:$L$10</definedName>
    <definedName name="Control_10">'Control Entry'!$D$19:$L$19</definedName>
    <definedName name="Control_11">'Control Entry'!#REF!</definedName>
    <definedName name="Control_12">'Control Entry'!#REF!</definedName>
    <definedName name="Control_13">'Control Entry'!#REF!</definedName>
    <definedName name="Control_14">'Control Entry'!#REF!</definedName>
    <definedName name="Control_15">'Control Entry'!#REF!</definedName>
    <definedName name="Control_16">'Control Entry'!#REF!</definedName>
    <definedName name="Control_17">'Control Entry'!#REF!</definedName>
    <definedName name="Control_18">'Control Entry'!#REF!</definedName>
    <definedName name="Control_19">'Control Entry'!#REF!</definedName>
    <definedName name="Control_2">'Control Entry'!$D$11:$L$11</definedName>
    <definedName name="Control_20">'Control Entry'!#REF!</definedName>
    <definedName name="Control_3">'Control Entry'!$D$12:$L$12</definedName>
    <definedName name="Control_4">'Control Entry'!$D$13:$L$13</definedName>
    <definedName name="Control_5">'Control Entry'!$D$14:$L$14</definedName>
    <definedName name="Control_6">'Control Entry'!$D$15:$L$15</definedName>
    <definedName name="Control_7">'Control Entry'!$D$16:$L$16</definedName>
    <definedName name="Control_8">'Control Entry'!$D$17:$L$17</definedName>
    <definedName name="Control_9">'Control Entry'!$D$18:$L$18</definedName>
    <definedName name="Country">#REF!</definedName>
    <definedName name="Distance">'Control Entry'!$D$10:$D$19</definedName>
    <definedName name="email">#REF!</definedName>
    <definedName name="Establishment_1">'Control Entry'!$F$10:$F$19</definedName>
    <definedName name="Establishment_2">'Control Entry'!$G$10:$G$19</definedName>
    <definedName name="Establishment_3">'Control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'Control Entry'!$E$10:$E$19</definedName>
    <definedName name="Max_time">'Control Entry'!$B$2</definedName>
    <definedName name="Open">'Control Entry'!$I$10:$I$19</definedName>
    <definedName name="Open_time">'Control Entry'!$K$10:$K$19</definedName>
    <definedName name="Postal_Code">#REF!</definedName>
    <definedName name="_xlnm.Print_Titles" localSheetId="1">'Control Card'!$1:$2</definedName>
    <definedName name="Province_State">#REF!</definedName>
    <definedName name="Start_date">'Control Entry'!$B$7</definedName>
    <definedName name="Start_time">'Control Entry'!$B$8</definedName>
    <definedName name="surname">#REF!</definedName>
    <definedName name="Work_teleph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M6" i="2"/>
  <c r="S22" i="2"/>
  <c r="L22" i="2" l="1"/>
  <c r="R5" i="2" l="1"/>
  <c r="P5" i="2"/>
  <c r="I14" i="1"/>
  <c r="C1" i="1"/>
  <c r="J16" i="1" s="1"/>
  <c r="A7" i="2"/>
  <c r="I10" i="1"/>
  <c r="J10" i="1" s="1"/>
  <c r="L10" i="1" s="1"/>
  <c r="I19" i="1"/>
  <c r="J18" i="1"/>
  <c r="I15" i="1"/>
  <c r="I16" i="1"/>
  <c r="I17" i="1"/>
  <c r="I18" i="1"/>
  <c r="I12" i="1"/>
  <c r="E32" i="2"/>
  <c r="E31" i="2"/>
  <c r="E30" i="2"/>
  <c r="E29" i="2"/>
  <c r="E28" i="2"/>
  <c r="E27" i="2"/>
  <c r="E26" i="2"/>
  <c r="E25" i="2"/>
  <c r="E24" i="2"/>
  <c r="E23" i="2"/>
  <c r="E22" i="2"/>
  <c r="E21" i="2"/>
  <c r="E16" i="2"/>
  <c r="E15" i="2"/>
  <c r="E13" i="2"/>
  <c r="E12" i="2"/>
  <c r="E10" i="2"/>
  <c r="E9" i="2"/>
  <c r="E7" i="2"/>
  <c r="E6" i="2"/>
  <c r="E4" i="2"/>
  <c r="E3" i="2"/>
  <c r="D25" i="2"/>
  <c r="D28" i="2"/>
  <c r="D31" i="2"/>
  <c r="A31" i="2"/>
  <c r="A4" i="2"/>
  <c r="D18" i="2"/>
  <c r="D15" i="2"/>
  <c r="D12" i="2"/>
  <c r="D9" i="2"/>
  <c r="D6" i="2"/>
  <c r="D3" i="2"/>
  <c r="D22" i="2"/>
  <c r="A28" i="2"/>
  <c r="A25" i="2"/>
  <c r="A22" i="2"/>
  <c r="A19" i="2"/>
  <c r="A10" i="2"/>
  <c r="A16" i="2"/>
  <c r="I13" i="1"/>
  <c r="A13" i="2"/>
  <c r="I11" i="1"/>
  <c r="J14" i="1"/>
  <c r="J13" i="1"/>
  <c r="J12" i="1"/>
  <c r="J11" i="1"/>
  <c r="M4" i="2" l="1"/>
  <c r="B2" i="1"/>
  <c r="J15" i="1" s="1"/>
  <c r="C5" i="2"/>
  <c r="C4" i="2"/>
  <c r="C3" i="2"/>
  <c r="K10" i="1"/>
  <c r="J19" i="1" l="1"/>
  <c r="J17" i="1"/>
  <c r="K18" i="1"/>
  <c r="L18" i="1"/>
  <c r="L17" i="1"/>
  <c r="K17" i="1"/>
  <c r="K16" i="1"/>
  <c r="B22" i="2" s="1"/>
  <c r="K19" i="1"/>
  <c r="L19" i="1"/>
  <c r="B5" i="2"/>
  <c r="K15" i="1"/>
  <c r="K13" i="1"/>
  <c r="L13" i="1"/>
  <c r="L11" i="1"/>
  <c r="L12" i="1"/>
  <c r="B4" i="2"/>
  <c r="K12" i="1"/>
  <c r="B3" i="2"/>
  <c r="K14" i="1"/>
  <c r="K11" i="1"/>
  <c r="L16" i="1"/>
  <c r="L14" i="1"/>
  <c r="L15" i="1"/>
  <c r="B23" i="2" l="1"/>
  <c r="B21" i="2"/>
  <c r="C27" i="2"/>
  <c r="C28" i="2"/>
  <c r="C29" i="2"/>
  <c r="B28" i="2"/>
  <c r="B29" i="2"/>
  <c r="B27" i="2"/>
  <c r="B26" i="2"/>
  <c r="B24" i="2"/>
  <c r="B25" i="2"/>
  <c r="C26" i="2"/>
  <c r="C25" i="2"/>
  <c r="C24" i="2"/>
  <c r="C32" i="2"/>
  <c r="C30" i="2"/>
  <c r="C31" i="2"/>
  <c r="B32" i="2"/>
  <c r="B31" i="2"/>
  <c r="B30" i="2"/>
  <c r="B11" i="2"/>
  <c r="B10" i="2"/>
  <c r="B9" i="2"/>
  <c r="C13" i="2"/>
  <c r="C12" i="2"/>
  <c r="C14" i="2"/>
  <c r="C21" i="2"/>
  <c r="C22" i="2"/>
  <c r="C23" i="2"/>
  <c r="B7" i="2"/>
  <c r="B6" i="2"/>
  <c r="B8" i="2"/>
  <c r="B14" i="2"/>
  <c r="B12" i="2"/>
  <c r="B13" i="2"/>
  <c r="C19" i="2"/>
  <c r="C18" i="2"/>
  <c r="C20" i="2"/>
  <c r="B16" i="2"/>
  <c r="B15" i="2"/>
  <c r="B17" i="2"/>
  <c r="C11" i="2"/>
  <c r="C10" i="2"/>
  <c r="C9" i="2"/>
  <c r="B20" i="2"/>
  <c r="B18" i="2"/>
  <c r="B19" i="2"/>
  <c r="C17" i="2"/>
  <c r="C16" i="2"/>
  <c r="C15" i="2"/>
  <c r="C7" i="2"/>
  <c r="C8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  <author>Stephen Hinde</author>
  </authors>
  <commentList>
    <comment ref="B2" authorId="0" shapeId="0" xr:uid="{F0FAF520-C457-AE44-9E88-231ED4A11615}">
      <text>
        <r>
          <rPr>
            <sz val="8"/>
            <color rgb="FF000000"/>
            <rFont val="Tahoma"/>
            <family val="2"/>
          </rPr>
          <t>Partial result of closing time calculation to avoid limitation of only 7 nested functions</t>
        </r>
      </text>
    </comment>
    <comment ref="B4" authorId="1" shapeId="0" xr:uid="{A773BF31-E31F-DD42-8227-798839EDD261}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 event page</t>
        </r>
      </text>
    </comment>
    <comment ref="B5" authorId="1" shapeId="0" xr:uid="{D3249555-A1C5-DF40-A348-120E0F4A12CC}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Official ACP date</t>
        </r>
      </text>
    </comment>
    <comment ref="B7" authorId="1" shapeId="0" xr:uid="{AD71998A-5FE0-DD4B-9632-BF506511C150}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 date</t>
        </r>
      </text>
    </comment>
  </commentList>
</comments>
</file>

<file path=xl/sharedStrings.xml><?xml version="1.0" encoding="utf-8"?>
<sst xmlns="http://schemas.openxmlformats.org/spreadsheetml/2006/main" count="121" uniqueCount="86">
  <si>
    <t>Start time</t>
  </si>
  <si>
    <t>Finish time</t>
  </si>
  <si>
    <t>Elapsed time</t>
  </si>
  <si>
    <t>Open</t>
  </si>
  <si>
    <t>Close</t>
  </si>
  <si>
    <t>Open time</t>
  </si>
  <si>
    <t>Close time</t>
  </si>
  <si>
    <t>Control 1</t>
  </si>
  <si>
    <t>Control 2</t>
  </si>
  <si>
    <t>Control 3</t>
  </si>
  <si>
    <t>Control 4</t>
  </si>
  <si>
    <t>Control 5</t>
  </si>
  <si>
    <t>Control 6</t>
  </si>
  <si>
    <t>Control 7</t>
  </si>
  <si>
    <t>Control 8</t>
  </si>
  <si>
    <t>Control 9</t>
  </si>
  <si>
    <t>Control 10</t>
  </si>
  <si>
    <t>Rider's signature at completion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</si>
  <si>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</si>
  <si>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</si>
  <si>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</si>
  <si>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</si>
  <si>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</si>
  <si>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</si>
  <si>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</si>
  <si>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</si>
  <si>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Locale</t>
  </si>
  <si>
    <t>Establishment 1</t>
  </si>
  <si>
    <t>Establishment 2</t>
  </si>
  <si>
    <t>Establishment 3</t>
  </si>
  <si>
    <t>|</t>
  </si>
  <si>
    <t>DIST (km)</t>
  </si>
  <si>
    <t>Establishment</t>
  </si>
  <si>
    <t>Time of Passage</t>
  </si>
  <si>
    <t>Control Card</t>
  </si>
  <si>
    <t>Name</t>
  </si>
  <si>
    <t>Address</t>
  </si>
  <si>
    <t>City</t>
  </si>
  <si>
    <t>Province/State</t>
  </si>
  <si>
    <t>Country</t>
  </si>
  <si>
    <t>Postal Code</t>
  </si>
  <si>
    <t>Telephone</t>
  </si>
  <si>
    <t>email</t>
  </si>
  <si>
    <t>Randonneur Committee Authorization</t>
  </si>
  <si>
    <t>Report results or abandonment through registration email link</t>
  </si>
  <si>
    <r>
      <t xml:space="preserve">Please </t>
    </r>
    <r>
      <rPr>
        <b/>
        <i/>
        <sz val="16"/>
        <rFont val="Arial"/>
        <family val="2"/>
      </rPr>
      <t>answer questions</t>
    </r>
    <r>
      <rPr>
        <i/>
        <sz val="16"/>
        <rFont val="Arial"/>
        <family val="2"/>
      </rPr>
      <t xml:space="preserve"> and</t>
    </r>
    <r>
      <rPr>
        <b/>
        <i/>
        <sz val="16"/>
        <rFont val="Arial"/>
        <family val="2"/>
      </rPr>
      <t xml:space="preserve"> note time of day</t>
    </r>
  </si>
  <si>
    <t>Start Date</t>
  </si>
  <si>
    <t>Finish Date</t>
  </si>
  <si>
    <t>Member #</t>
  </si>
  <si>
    <t xml:space="preserve">Brevet No. </t>
  </si>
  <si>
    <t>Schedule date:</t>
  </si>
  <si>
    <t>Single</t>
  </si>
  <si>
    <t>Tandem</t>
  </si>
  <si>
    <t>Fixed</t>
  </si>
  <si>
    <t>Recumbent</t>
  </si>
  <si>
    <t>Velomobile</t>
  </si>
  <si>
    <t>(only add if change needed to database)</t>
  </si>
  <si>
    <t>Founding member of LES RANDONNEURS MONDIAUX (1983)</t>
  </si>
  <si>
    <t>Bicycle Type
Circle one</t>
  </si>
  <si>
    <t>-------&gt;</t>
  </si>
  <si>
    <t>Ride Day Emergency Contact</t>
  </si>
  <si>
    <t>Fill in the blanks</t>
  </si>
  <si>
    <t>g____ and b_____</t>
  </si>
  <si>
    <t>S_____ p_____</t>
  </si>
  <si>
    <t>Maximum fine for smoking</t>
  </si>
  <si>
    <t>$_____</t>
  </si>
  <si>
    <t>"S____   p____ users play at their own risk."</t>
  </si>
  <si>
    <t>Vancouver, Ross St @ 43rd Ave</t>
  </si>
  <si>
    <t>North Vancouver, Myrtle Park</t>
  </si>
  <si>
    <t>Sign on outside wall of washrooms</t>
  </si>
  <si>
    <t>North Vancouver, Seymour Dam gate</t>
  </si>
  <si>
    <t>Sign on gate</t>
  </si>
  <si>
    <t>Richmond, Iona Park Washrooms</t>
  </si>
  <si>
    <t>Sign at drinking fountain</t>
  </si>
  <si>
    <t>Bright yellow sign</t>
  </si>
  <si>
    <t>"Warning G___ P____"</t>
  </si>
  <si>
    <t>G_____ P______</t>
  </si>
  <si>
    <t>s____ and m____</t>
  </si>
  <si>
    <t>"Failure to do so may result in damage to the g___ and b___."</t>
  </si>
  <si>
    <t>Sign in parking lot, near footpath</t>
  </si>
  <si>
    <t>Delta, Burns Dr @ 64 St, bike path entrance</t>
  </si>
  <si>
    <t>"s___ and m__" will clog the pipe.</t>
  </si>
  <si>
    <t>Initial upon completion.</t>
  </si>
  <si>
    <t>Your initials:</t>
  </si>
  <si>
    <t>_______</t>
  </si>
  <si>
    <t>See More than the Seymour Dam - Permanent #239, 203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</si>
</sst>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m/yy\ hh:mm\ AM/PM"/>
    <numFmt numFmtId="165" formatCode="d/mmm/yy"/>
    <numFmt numFmtId="166" formatCode="dddd"/>
    <numFmt numFmtId="167" formatCode="0.0"/>
    <numFmt numFmtId="168" formatCode="mmmm\ d\,\ yyyy"/>
    <numFmt numFmtId="169" formatCode="[&lt;=9999999]###\-####;\(###\)\ ###\-####"/>
  </numFmts>
  <fonts count="30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8"/>
      <color rgb="FF000000"/>
      <name val="Tahoma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6"/>
      <name val="Arial Narrow"/>
      <family val="2"/>
    </font>
    <font>
      <sz val="20"/>
      <color theme="0" tint="-0.14999847407452621"/>
      <name val="Impact"/>
      <family val="2"/>
    </font>
    <font>
      <sz val="14"/>
      <color rgb="FF000000"/>
      <name val="Helvetica"/>
      <family val="2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88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28">
    <xf numFmtId="0" fontId="0" fillId="0" borderId="0" xfId="0"/>
    <xf numFmtId="0" fontId="0" fillId="0" borderId="16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7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0" fillId="2" borderId="7" xfId="0" applyFill="1" applyBorder="1" applyAlignment="1">
      <alignment horizontal="right"/>
    </xf>
    <xf numFmtId="20" fontId="0" fillId="0" borderId="8" xfId="0" applyNumberFormat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15" fontId="0" fillId="0" borderId="4" xfId="0" applyNumberFormat="1" applyBorder="1" applyProtection="1">
      <protection locked="0"/>
    </xf>
    <xf numFmtId="0" fontId="0" fillId="0" borderId="0" xfId="0" applyAlignment="1">
      <alignment vertical="top" textRotation="90"/>
    </xf>
    <xf numFmtId="0" fontId="10" fillId="0" borderId="0" xfId="0" applyFont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10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10" fillId="0" borderId="18" xfId="0" applyFont="1" applyBorder="1" applyAlignment="1" applyProtection="1">
      <alignment horizontal="centerContinuous"/>
      <protection locked="0"/>
    </xf>
    <xf numFmtId="0" fontId="10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17" xfId="0" applyBorder="1"/>
    <xf numFmtId="0" fontId="0" fillId="0" borderId="8" xfId="0" applyBorder="1"/>
    <xf numFmtId="0" fontId="0" fillId="0" borderId="0" xfId="0" applyAlignment="1" applyProtection="1">
      <alignment horizontal="centerContinuous"/>
      <protection hidden="1"/>
    </xf>
    <xf numFmtId="0" fontId="0" fillId="0" borderId="0" xfId="0" applyAlignment="1">
      <alignment horizontal="centerContinuous"/>
    </xf>
    <xf numFmtId="169" fontId="10" fillId="0" borderId="18" xfId="0" applyNumberFormat="1" applyFont="1" applyBorder="1" applyAlignment="1">
      <alignment horizontal="centerContinuous"/>
    </xf>
    <xf numFmtId="167" fontId="0" fillId="0" borderId="13" xfId="0" applyNumberFormat="1" applyBorder="1" applyProtection="1">
      <protection locked="0"/>
    </xf>
    <xf numFmtId="0" fontId="0" fillId="0" borderId="0" xfId="0" applyAlignment="1">
      <alignment horizontal="center"/>
    </xf>
    <xf numFmtId="0" fontId="8" fillId="0" borderId="18" xfId="0" applyFont="1" applyBorder="1"/>
    <xf numFmtId="169" fontId="12" fillId="0" borderId="18" xfId="0" applyNumberFormat="1" applyFont="1" applyBorder="1" applyAlignment="1">
      <alignment horizontal="centerContinuous"/>
    </xf>
    <xf numFmtId="0" fontId="12" fillId="0" borderId="18" xfId="0" applyFont="1" applyBorder="1"/>
    <xf numFmtId="167" fontId="13" fillId="0" borderId="16" xfId="0" applyNumberFormat="1" applyFont="1" applyBorder="1" applyAlignment="1">
      <alignment horizontal="center" wrapText="1"/>
    </xf>
    <xf numFmtId="166" fontId="13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67" fontId="13" fillId="0" borderId="7" xfId="0" applyNumberFormat="1" applyFont="1" applyBorder="1"/>
    <xf numFmtId="165" fontId="13" fillId="0" borderId="7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8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7" fontId="12" fillId="0" borderId="0" xfId="0" applyNumberFormat="1" applyFont="1" applyAlignment="1">
      <alignment vertical="top"/>
    </xf>
    <xf numFmtId="0" fontId="7" fillId="0" borderId="0" xfId="0" applyFont="1" applyAlignment="1">
      <alignment vertical="center" wrapText="1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justify"/>
    </xf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0" fillId="2" borderId="25" xfId="0" applyFill="1" applyBorder="1" applyAlignment="1">
      <alignment horizontal="right"/>
    </xf>
    <xf numFmtId="15" fontId="0" fillId="0" borderId="23" xfId="0" applyNumberFormat="1" applyBorder="1" applyProtection="1">
      <protection locked="0"/>
    </xf>
    <xf numFmtId="0" fontId="10" fillId="0" borderId="5" xfId="0" applyFont="1" applyBorder="1"/>
    <xf numFmtId="0" fontId="10" fillId="0" borderId="0" xfId="0" applyFont="1" applyAlignment="1">
      <alignment horizontal="left"/>
    </xf>
    <xf numFmtId="0" fontId="5" fillId="2" borderId="3" xfId="0" applyFont="1" applyFill="1" applyBorder="1" applyAlignment="1">
      <alignment horizontal="right"/>
    </xf>
    <xf numFmtId="169" fontId="7" fillId="0" borderId="0" xfId="0" applyNumberFormat="1" applyFont="1" applyAlignment="1">
      <alignment horizontal="left" vertical="center"/>
    </xf>
    <xf numFmtId="168" fontId="10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" fontId="0" fillId="0" borderId="4" xfId="0" applyNumberFormat="1" applyBorder="1" applyProtection="1">
      <protection locked="0"/>
    </xf>
    <xf numFmtId="167" fontId="0" fillId="0" borderId="26" xfId="0" applyNumberFormat="1" applyBorder="1" applyProtection="1">
      <protection locked="0"/>
    </xf>
    <xf numFmtId="0" fontId="5" fillId="0" borderId="27" xfId="0" applyFont="1" applyBorder="1" applyProtection="1">
      <protection locked="0"/>
    </xf>
    <xf numFmtId="49" fontId="5" fillId="0" borderId="27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24" fillId="0" borderId="18" xfId="0" applyFont="1" applyBorder="1"/>
    <xf numFmtId="0" fontId="10" fillId="0" borderId="22" xfId="0" applyFont="1" applyBorder="1"/>
    <xf numFmtId="0" fontId="14" fillId="0" borderId="16" xfId="0" applyFont="1" applyBorder="1" applyAlignment="1">
      <alignment horizontal="center" vertical="top" wrapText="1"/>
    </xf>
    <xf numFmtId="0" fontId="25" fillId="0" borderId="0" xfId="0" applyFont="1"/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7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8" fontId="1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left"/>
    </xf>
    <xf numFmtId="0" fontId="29" fillId="0" borderId="17" xfId="0" applyFont="1" applyBorder="1" applyAlignment="1">
      <alignment horizontal="center" vertical="top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18" fontId="23" fillId="0" borderId="5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/>
    </xf>
    <xf numFmtId="18" fontId="23" fillId="0" borderId="0" xfId="0" applyNumberFormat="1" applyFont="1" applyAlignment="1">
      <alignment horizontal="center" wrapText="1"/>
    </xf>
    <xf numFmtId="0" fontId="21" fillId="0" borderId="18" xfId="0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wrapText="1"/>
    </xf>
    <xf numFmtId="169" fontId="7" fillId="0" borderId="18" xfId="0" applyNumberFormat="1" applyFont="1" applyBorder="1" applyAlignment="1">
      <alignment horizontal="left" wrapText="1"/>
    </xf>
    <xf numFmtId="0" fontId="10" fillId="0" borderId="0" xfId="0" applyFont="1" applyAlignment="1">
      <alignment horizontal="right" vertical="center"/>
    </xf>
    <xf numFmtId="168" fontId="10" fillId="0" borderId="18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top"/>
    </xf>
    <xf numFmtId="0" fontId="0" fillId="0" borderId="18" xfId="0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8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Normal 2" xfId="282" xr:uid="{7FCC8439-48B1-7E48-9DDB-2E46F124A961}"/>
    <cellStyle name="Normal 3" xfId="283" xr:uid="{352B66DC-30EA-CC47-8C8A-3A5189A8913E}"/>
    <cellStyle name="Normal 3 2" xfId="285" xr:uid="{A72C0204-2D7A-C34C-AD69-F93C957B08D9}"/>
    <cellStyle name="Normal 3 2 2" xfId="286" xr:uid="{D4E99F78-73DF-744B-83A1-FB22FD29A62E}"/>
    <cellStyle name="Normal 3 2 3" xfId="287" xr:uid="{5F2D8900-A978-174C-BDAB-AE5D1BB2E940}"/>
    <cellStyle name="Normal 4" xfId="284" xr:uid="{A02DBF5A-CB72-A84C-B5B6-A11B1ED140C9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1</xdr:row>
      <xdr:rowOff>224693</xdr:rowOff>
    </xdr:from>
    <xdr:to>
      <xdr:col>11</xdr:col>
      <xdr:colOff>406400</xdr:colOff>
      <xdr:row>4</xdr:row>
      <xdr:rowOff>386796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3477" y="485206"/>
          <a:ext cx="1992923" cy="156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zoomScale="135" zoomScaleNormal="135" workbookViewId="0">
      <selection activeCell="B1" sqref="B1"/>
    </sheetView>
  </sheetViews>
  <sheetFormatPr baseColWidth="10" defaultColWidth="8.83203125" defaultRowHeight="13" x14ac:dyDescent="0.15"/>
  <cols>
    <col min="1" max="1" width="16.5" style="2" customWidth="1"/>
    <col min="2" max="2" width="9.6640625" bestFit="1" customWidth="1"/>
    <col min="3" max="3" width="0" style="4" hidden="1" customWidth="1"/>
    <col min="4" max="4" width="8.33203125" customWidth="1"/>
    <col min="5" max="5" width="28.6640625" customWidth="1"/>
    <col min="6" max="8" width="25.6640625" customWidth="1"/>
    <col min="9" max="12" width="17.83203125" hidden="1" customWidth="1"/>
    <col min="13" max="13" width="8.83203125" style="90"/>
  </cols>
  <sheetData>
    <row r="1" spans="1:13" x14ac:dyDescent="0.15">
      <c r="A1" s="18" t="s">
        <v>18</v>
      </c>
      <c r="B1" s="19">
        <v>204</v>
      </c>
      <c r="C1">
        <f>IF(Brevet_Length&gt;=1200,Brevet_Length,IF(Brevet_Length&gt;=1000,1000,IF(Brevet_Length&gt;=600,600,IF(Brevet_Length&gt;=400,400,IF(Brevet_Length&gt;=300,300,IF(Brevet_Length&gt;=200,200,100))))))</f>
        <v>200</v>
      </c>
    </row>
    <row r="2" spans="1:13" ht="14" thickBot="1" x14ac:dyDescent="0.2">
      <c r="A2" s="20" t="s">
        <v>19</v>
      </c>
      <c r="B2" s="21">
        <f>IF(brevet=1200,90,IF(brevet=1000,75,IF(brevet=600,40,IF(brevet=400,27,IF(brevet=300,20,IF(brevet=200,13.5,IF(brevet=100,7,0)))))))</f>
        <v>13.5</v>
      </c>
    </row>
    <row r="3" spans="1:13" ht="14" thickBot="1" x14ac:dyDescent="0.2">
      <c r="A3" s="20" t="s">
        <v>20</v>
      </c>
      <c r="B3" s="64" t="s">
        <v>85</v>
      </c>
      <c r="C3" s="3"/>
      <c r="D3" s="55"/>
      <c r="E3" s="55"/>
      <c r="F3" s="55"/>
      <c r="G3" s="55"/>
      <c r="H3" s="55"/>
      <c r="M3" s="91"/>
    </row>
    <row r="4" spans="1:13" x14ac:dyDescent="0.15">
      <c r="A4" s="20" t="s">
        <v>21</v>
      </c>
      <c r="B4" s="75"/>
      <c r="C4" s="36"/>
      <c r="F4" s="37"/>
      <c r="G4" s="37"/>
      <c r="H4" s="37"/>
    </row>
    <row r="5" spans="1:13" x14ac:dyDescent="0.15">
      <c r="A5" s="70" t="s">
        <v>50</v>
      </c>
      <c r="B5" s="22">
        <v>44415</v>
      </c>
    </row>
    <row r="6" spans="1:13" ht="6" customHeight="1" x14ac:dyDescent="0.15"/>
    <row r="7" spans="1:13" ht="14" thickBot="1" x14ac:dyDescent="0.2">
      <c r="A7" s="66" t="s">
        <v>22</v>
      </c>
      <c r="B7" s="67"/>
    </row>
    <row r="8" spans="1:13" ht="14" thickBot="1" x14ac:dyDescent="0.2">
      <c r="A8" s="16" t="s">
        <v>23</v>
      </c>
      <c r="B8" s="17"/>
      <c r="D8" s="94" t="s">
        <v>24</v>
      </c>
      <c r="E8" s="95"/>
      <c r="F8" s="95"/>
      <c r="G8" s="95"/>
      <c r="H8" s="95"/>
    </row>
    <row r="9" spans="1:13" ht="14" thickBot="1" x14ac:dyDescent="0.2">
      <c r="D9" s="7" t="s">
        <v>25</v>
      </c>
      <c r="E9" s="8" t="s">
        <v>26</v>
      </c>
      <c r="F9" s="8" t="s">
        <v>27</v>
      </c>
      <c r="G9" s="8" t="s">
        <v>28</v>
      </c>
      <c r="H9" s="9" t="s">
        <v>29</v>
      </c>
      <c r="I9" t="s">
        <v>3</v>
      </c>
      <c r="J9" t="s">
        <v>4</v>
      </c>
      <c r="K9" t="s">
        <v>5</v>
      </c>
      <c r="L9" t="s">
        <v>6</v>
      </c>
    </row>
    <row r="10" spans="1:13" x14ac:dyDescent="0.15">
      <c r="C10" s="4" t="s">
        <v>7</v>
      </c>
      <c r="D10" s="39">
        <v>0</v>
      </c>
      <c r="E10" s="60" t="s">
        <v>67</v>
      </c>
      <c r="F10" s="58" t="s">
        <v>79</v>
      </c>
      <c r="G10" s="58" t="s">
        <v>64</v>
      </c>
      <c r="H10" s="59"/>
      <c r="I10" s="5">
        <f>Start_date+Start_time</f>
        <v>0</v>
      </c>
      <c r="J10" s="5">
        <f>I10+"1:00"</f>
        <v>4.1666666666666664E-2</v>
      </c>
      <c r="K10" s="6">
        <f>IF(ISBLANK(Distance),"",Open Control_1)</f>
        <v>0</v>
      </c>
      <c r="L10" s="6">
        <f>IF(ISBLANK(Distance),"",Close Control_1)</f>
        <v>4.1666666666666664E-2</v>
      </c>
      <c r="M10" s="92"/>
    </row>
    <row r="11" spans="1:13" x14ac:dyDescent="0.15">
      <c r="C11" s="4" t="s">
        <v>8</v>
      </c>
      <c r="D11" s="39">
        <v>32.6</v>
      </c>
      <c r="E11" s="60" t="s">
        <v>68</v>
      </c>
      <c r="F11" s="58" t="s">
        <v>69</v>
      </c>
      <c r="G11" s="58" t="s">
        <v>66</v>
      </c>
      <c r="H11" s="59"/>
      <c r="I11">
        <f>IF(ISBLANK(Distance),"",IF(Distance&gt;1000,(Distance-1000)/26+33.0847,(IF(Distance&gt;600,(Distance-600)/28+18.799,(IF(Distance&gt;400,(Distance-400)/30+12.1324,(IF(Distance&gt;200,(Distance-200)/32+5.8824,Distance/34))))))))</f>
        <v>0.95882352941176474</v>
      </c>
      <c r="J11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2.1733333333333333</v>
      </c>
      <c r="K11" s="6">
        <f>IF(ISBLANK(Distance),"",Open_time Control_1+(INT(Open)&amp;":"&amp;IF(ROUND(((Open-INT(Open))*60),0)&lt;10,0,"")&amp;ROUND(((Open-INT(Open))*60),0)))</f>
        <v>4.027777777777778E-2</v>
      </c>
      <c r="L11" s="6">
        <f>IF(ISBLANK(Distance),"",Open_time Control_1+(INT(Close)&amp;":"&amp;IF(ROUND(((Close-INT(Close))*60),0)&lt;10,0,"")&amp;ROUND(((Close-INT(Close))*60),0)))</f>
        <v>9.0277777777777776E-2</v>
      </c>
      <c r="M11" s="92"/>
    </row>
    <row r="12" spans="1:13" x14ac:dyDescent="0.15">
      <c r="C12" s="4" t="s">
        <v>9</v>
      </c>
      <c r="D12" s="39">
        <v>55.7</v>
      </c>
      <c r="E12" s="60" t="s">
        <v>70</v>
      </c>
      <c r="F12" s="58" t="s">
        <v>71</v>
      </c>
      <c r="G12" s="58" t="s">
        <v>78</v>
      </c>
      <c r="H12" s="59"/>
      <c r="I12">
        <f>IF(ISBLANK(Distance),"",IF(Distance&gt;1000,(Distance-1000)/26+33.0847,(IF(Distance&gt;600,(Distance-600)/28+18.799,(IF(Distance&gt;400,(Distance-400)/30+12.1324,(IF(Distance&gt;200,(Distance-200)/32+5.8824,Distance/34))))))))</f>
        <v>1.6382352941176472</v>
      </c>
      <c r="J12">
        <f t="shared" ref="J12:J19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3.7133333333333334</v>
      </c>
      <c r="K12" s="6">
        <f>IF(ISBLANK(Distance),"",Open_time Control_1+(INT(Open)&amp;":"&amp;IF(ROUND(((Open-INT(Open))*60),0)&lt;10,0,"")&amp;ROUND(((Open-INT(Open))*60),0)))</f>
        <v>6.805555555555555E-2</v>
      </c>
      <c r="L12" s="6">
        <f>IF(ISBLANK(Distance),"",Open_time Control_1+(INT(Close)&amp;":"&amp;IF(ROUND(((Close-INT(Close))*60),0)&lt;10,0,"")&amp;ROUND(((Close-INT(Close))*60),0)))</f>
        <v>0.15486111111111112</v>
      </c>
      <c r="M12" s="92"/>
    </row>
    <row r="13" spans="1:13" x14ac:dyDescent="0.15">
      <c r="C13" s="4" t="s">
        <v>10</v>
      </c>
      <c r="D13" s="39">
        <v>118.6</v>
      </c>
      <c r="E13" s="60" t="s">
        <v>72</v>
      </c>
      <c r="F13" s="58" t="s">
        <v>73</v>
      </c>
      <c r="G13" s="58" t="s">
        <v>81</v>
      </c>
      <c r="H13" s="59"/>
      <c r="I13">
        <f t="shared" ref="I13:I19" si="1">IF(ISBLANK(Distance),"",IF(Distance&gt;1000,(Distance-1000)/26+33.0847,(IF(Distance&gt;600,(Distance-600)/28+18.799,(IF(Distance&gt;400,(Distance-400)/30+12.1324,(IF(Distance&gt;200,(Distance-200)/32+5.8824,Distance/34))))))))</f>
        <v>3.4882352941176471</v>
      </c>
      <c r="J13">
        <f t="shared" si="0"/>
        <v>7.9066666666666663</v>
      </c>
      <c r="K13" s="6">
        <f>IF(ISBLANK(Distance),"",Open_time Control_1+(INT(Open)&amp;":"&amp;IF(ROUND(((Open-INT(Open))*60),0)&lt;10,0,"")&amp;ROUND(((Open-INT(Open))*60),0)))</f>
        <v>0.1451388888888889</v>
      </c>
      <c r="L13" s="6">
        <f>IF(ISBLANK(Distance),"",Open_time Control_1+(INT(Close)&amp;":"&amp;IF(ROUND(((Close-INT(Close))*60),0)&lt;10,0,"")&amp;ROUND(((Close-INT(Close))*60),0)))</f>
        <v>0.32916666666666666</v>
      </c>
    </row>
    <row r="14" spans="1:13" x14ac:dyDescent="0.15">
      <c r="C14" s="4" t="s">
        <v>11</v>
      </c>
      <c r="D14" s="39">
        <v>165.7</v>
      </c>
      <c r="E14" s="60" t="s">
        <v>80</v>
      </c>
      <c r="F14" s="58" t="s">
        <v>74</v>
      </c>
      <c r="G14" s="58" t="s">
        <v>75</v>
      </c>
      <c r="H14" s="59"/>
      <c r="I14">
        <f t="shared" si="1"/>
        <v>4.8735294117647054</v>
      </c>
      <c r="J14">
        <f t="shared" si="0"/>
        <v>11.046666666666665</v>
      </c>
      <c r="K14" s="6">
        <f>IF(ISBLANK(Distance),"",Open_time Control_1+(INT(Open)&amp;":"&amp;IF(ROUND(((Open-INT(Open))*60),0)&lt;10,0,"")&amp;ROUND(((Open-INT(Open))*60),0)))</f>
        <v>0.20277777777777781</v>
      </c>
      <c r="L14" s="6">
        <f>IF(ISBLANK(Distance),"",Open_time Control_1+(INT(Close)&amp;":"&amp;IF(ROUND(((Close-INT(Close))*60),0)&lt;10,0,"")&amp;ROUND(((Close-INT(Close))*60),0)))</f>
        <v>0.4604166666666667</v>
      </c>
      <c r="M14" s="92"/>
    </row>
    <row r="15" spans="1:13" x14ac:dyDescent="0.15">
      <c r="C15" s="4" t="s">
        <v>12</v>
      </c>
      <c r="D15" s="39">
        <v>203.7</v>
      </c>
      <c r="E15" s="60" t="s">
        <v>67</v>
      </c>
      <c r="F15" s="58" t="s">
        <v>82</v>
      </c>
      <c r="G15" s="58"/>
      <c r="H15" s="59"/>
      <c r="I15">
        <f t="shared" si="1"/>
        <v>5.9980249999999993</v>
      </c>
      <c r="J15">
        <f t="shared" si="0"/>
        <v>13.5</v>
      </c>
      <c r="K15" s="6">
        <f>IF(ISBLANK(Distance),"",Open_time Control_1+(INT(Open)&amp;":"&amp;IF(ROUND(((Open-INT(Open))*60),0)&lt;10,0,"")&amp;ROUND(((Open-INT(Open))*60),0)))</f>
        <v>0.25</v>
      </c>
      <c r="L15" s="6">
        <f>IF(ISBLANK(Distance),"",Open_time Control_1+(INT(Close)&amp;":"&amp;IF(ROUND(((Close-INT(Close))*60),0)&lt;10,0,"")&amp;ROUND(((Close-INT(Close))*60),0)))</f>
        <v>0.5625</v>
      </c>
    </row>
    <row r="16" spans="1:13" ht="14" x14ac:dyDescent="0.15">
      <c r="C16" s="4" t="s">
        <v>13</v>
      </c>
      <c r="D16" s="39"/>
      <c r="E16" s="60"/>
      <c r="F16" s="58"/>
      <c r="G16" s="58"/>
      <c r="H16" s="59"/>
      <c r="I16" t="str">
        <f t="shared" si="1"/>
        <v/>
      </c>
      <c r="J16" t="str">
        <f t="shared" si="0"/>
        <v/>
      </c>
      <c r="K16" s="6" t="str">
        <f>IF(ISBLANK(Distance),"",Open_time Control_1+(INT(Open)&amp;":"&amp;IF(ROUND(((Open-INT(Open))*60),0)&lt;10,0,"")&amp;ROUND(((Open-INT(Open))*60),0)))</f>
        <v/>
      </c>
      <c r="L16" s="6" t="str">
        <f>IF(ISBLANK(Distance),"",Open_time Control_1+(INT(Close)&amp;":"&amp;IF(ROUND(((Close-INT(Close))*60),0)&lt;10,0,"")&amp;ROUND(((Close-INT(Close))*60),0)))</f>
        <v/>
      </c>
      <c r="M16" s="92"/>
    </row>
    <row r="17" spans="3:12" ht="14" x14ac:dyDescent="0.15">
      <c r="C17" s="4" t="s">
        <v>14</v>
      </c>
      <c r="D17" s="39"/>
      <c r="E17" s="60"/>
      <c r="F17" s="58"/>
      <c r="G17" s="58"/>
      <c r="H17" s="59"/>
      <c r="I17" t="str">
        <f t="shared" si="1"/>
        <v/>
      </c>
      <c r="J17" t="str">
        <f t="shared" si="0"/>
        <v/>
      </c>
      <c r="K17" s="6" t="str">
        <f>IF(ISBLANK(Distance),"",Open_time Control_1+(INT(Open)&amp;":"&amp;IF(ROUND(((Open-INT(Open))*60),0)&lt;10,0,"")&amp;ROUND(((Open-INT(Open))*60),0)))</f>
        <v/>
      </c>
      <c r="L17" s="6" t="str">
        <f>IF(ISBLANK(Distance),"",Open_time Control_1+(INT(Close)&amp;":"&amp;IF(ROUND(((Close-INT(Close))*60),0)&lt;10,0,"")&amp;ROUND(((Close-INT(Close))*60),0)))</f>
        <v/>
      </c>
    </row>
    <row r="18" spans="3:12" ht="14" x14ac:dyDescent="0.15">
      <c r="C18" s="4" t="s">
        <v>15</v>
      </c>
      <c r="D18" s="39"/>
      <c r="E18" s="60"/>
      <c r="F18" s="58"/>
      <c r="G18" s="58"/>
      <c r="H18" s="59"/>
      <c r="I18" t="str">
        <f t="shared" si="1"/>
        <v/>
      </c>
      <c r="J18" t="str">
        <f t="shared" si="0"/>
        <v/>
      </c>
      <c r="K18" s="6" t="str">
        <f>IF(ISBLANK(Distance),"",Open_time Control_1+(INT(Open)&amp;":"&amp;IF(ROUND(((Open-INT(Open))*60),0)&lt;10,0,"")&amp;ROUND(((Open-INT(Open))*60),0)))</f>
        <v/>
      </c>
      <c r="L18" s="6" t="str">
        <f>IF(ISBLANK(Distance),"",Open_time Control_1+(INT(Close)&amp;":"&amp;IF(ROUND(((Close-INT(Close))*60),0)&lt;10,0,"")&amp;ROUND(((Close-INT(Close))*60),0)))</f>
        <v/>
      </c>
    </row>
    <row r="19" spans="3:12" ht="15" thickBot="1" x14ac:dyDescent="0.2">
      <c r="C19" s="4" t="s">
        <v>16</v>
      </c>
      <c r="D19" s="76"/>
      <c r="E19" s="77"/>
      <c r="F19" s="78"/>
      <c r="G19" s="78"/>
      <c r="H19" s="79"/>
      <c r="I19" t="str">
        <f t="shared" si="1"/>
        <v/>
      </c>
      <c r="J19" t="str">
        <f t="shared" si="0"/>
        <v/>
      </c>
      <c r="K19" s="6" t="str">
        <f>IF(ISBLANK(Distance),"",Open_time Control_1+(INT(Open)&amp;":"&amp;IF(ROUND(((Open-INT(Open))*60),0)&lt;10,0,"")&amp;ROUND(((Open-INT(Open))*60),0)))</f>
        <v/>
      </c>
      <c r="L19" s="6" t="str">
        <f>IF(ISBLANK(Distance),"",Open_time Control_1+(INT(Close)&amp;":"&amp;IF(ROUND(((Close-INT(Close))*60),0)&lt;10,0,"")&amp;ROUND(((Close-INT(Close))*60),0)))</f>
        <v/>
      </c>
    </row>
  </sheetData>
  <mergeCells count="1">
    <mergeCell ref="D8:H8"/>
  </mergeCells>
  <phoneticPr fontId="16" type="noConversion"/>
  <pageMargins left="0.75" right="0.75" top="1" bottom="1" header="0.5" footer="0.5"/>
  <pageSetup orientation="portrait" horizontalDpi="4294967292" verticalDpi="4294967292" r:id="rId1"/>
  <headerFooter>
    <oddHeader>&amp;A</oddHeader>
    <oddFooter>Page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0"/>
  <sheetViews>
    <sheetView showGridLines="0" tabSelected="1" zoomScale="92" zoomScaleNormal="92" workbookViewId="0">
      <selection activeCell="A2" sqref="A2"/>
    </sheetView>
  </sheetViews>
  <sheetFormatPr baseColWidth="10" defaultColWidth="8.83203125" defaultRowHeight="13" x14ac:dyDescent="0.15"/>
  <cols>
    <col min="1" max="1" width="8.5" style="1" customWidth="1"/>
    <col min="2" max="2" width="11.5" customWidth="1"/>
    <col min="3" max="3" width="11.6640625" customWidth="1"/>
    <col min="4" max="4" width="18" customWidth="1"/>
    <col min="5" max="5" width="23.83203125" customWidth="1"/>
    <col min="6" max="6" width="42" customWidth="1"/>
    <col min="7" max="7" width="13.5" customWidth="1"/>
    <col min="8" max="8" width="8" customWidth="1"/>
    <col min="9" max="9" width="12" customWidth="1"/>
    <col min="18" max="19" width="8.83203125" customWidth="1"/>
  </cols>
  <sheetData>
    <row r="1" spans="1:22" ht="21" thickBot="1" x14ac:dyDescent="0.2">
      <c r="A1" s="112" t="s">
        <v>45</v>
      </c>
      <c r="B1" s="112"/>
      <c r="C1" s="112"/>
      <c r="D1" s="112"/>
      <c r="E1" s="112"/>
      <c r="F1" s="112"/>
      <c r="G1" s="112"/>
      <c r="H1" s="40" t="s">
        <v>30</v>
      </c>
    </row>
    <row r="2" spans="1:22" ht="38" customHeight="1" thickBot="1" x14ac:dyDescent="0.25">
      <c r="A2" s="10" t="s">
        <v>31</v>
      </c>
      <c r="B2" s="11" t="s">
        <v>3</v>
      </c>
      <c r="C2" s="11" t="s">
        <v>4</v>
      </c>
      <c r="D2" s="11" t="s">
        <v>26</v>
      </c>
      <c r="E2" s="11" t="s">
        <v>32</v>
      </c>
      <c r="F2" s="11" t="s">
        <v>61</v>
      </c>
      <c r="G2" s="10" t="s">
        <v>33</v>
      </c>
      <c r="H2" s="40" t="s">
        <v>30</v>
      </c>
      <c r="K2" s="105" t="s">
        <v>57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2" ht="36" customHeight="1" x14ac:dyDescent="0.45">
      <c r="A3" s="44"/>
      <c r="B3" s="45">
        <f>Control_1 Open_time</f>
        <v>0</v>
      </c>
      <c r="C3" s="45">
        <f>Control_1 Close_time</f>
        <v>4.1666666666666664E-2</v>
      </c>
      <c r="D3" s="100" t="str">
        <f>IF(ISBLANK(Locale Control_1),"",Locale Control_1)</f>
        <v>Vancouver, Ross St @ 43rd Ave</v>
      </c>
      <c r="E3" s="46" t="str">
        <f>IF(ISBLANK(Control_1 Establishment_1),"",Control_1 Establishment_1)</f>
        <v>Sign in parking lot, near footpath</v>
      </c>
      <c r="F3" s="85"/>
      <c r="G3" s="12"/>
      <c r="H3" s="40" t="s">
        <v>30</v>
      </c>
      <c r="K3" s="23"/>
      <c r="N3" s="115" t="s">
        <v>34</v>
      </c>
      <c r="O3" s="115"/>
      <c r="P3" s="115"/>
      <c r="Q3" s="115"/>
      <c r="R3" s="115"/>
      <c r="S3" s="115"/>
      <c r="T3" s="61"/>
      <c r="U3" s="61"/>
    </row>
    <row r="4" spans="1:22" ht="36" customHeight="1" x14ac:dyDescent="0.2">
      <c r="A4" s="52">
        <f>IF(ISBLANK(Distance Control_1),"",Control_1 Distance)</f>
        <v>0</v>
      </c>
      <c r="B4" s="53">
        <f>Control_1 Open_time</f>
        <v>0</v>
      </c>
      <c r="C4" s="53">
        <f>Control_1 Close_time</f>
        <v>4.1666666666666664E-2</v>
      </c>
      <c r="D4" s="101"/>
      <c r="E4" s="96" t="str">
        <f>IF(ISBLANK(Control_1 Establishment_2),"",Control_1 Establishment_2)</f>
        <v>Maximum fine for smoking</v>
      </c>
      <c r="F4" s="93" t="s">
        <v>65</v>
      </c>
      <c r="G4" s="12"/>
      <c r="H4" s="40" t="s">
        <v>30</v>
      </c>
      <c r="K4" s="23"/>
      <c r="M4" s="114" t="str">
        <f>IF(ISBLANK(brevet),"",brevet&amp;" km Randonnée")</f>
        <v>200 km Randonnée</v>
      </c>
      <c r="N4" s="114"/>
      <c r="O4" s="114"/>
      <c r="P4" s="114"/>
      <c r="Q4" s="114"/>
      <c r="R4" s="114"/>
      <c r="S4" s="114"/>
      <c r="T4" s="114"/>
      <c r="U4" s="62"/>
    </row>
    <row r="5" spans="1:22" ht="36" customHeight="1" thickBot="1" x14ac:dyDescent="0.25">
      <c r="A5" s="47"/>
      <c r="B5" s="48">
        <f>Control_1 Open_time</f>
        <v>0</v>
      </c>
      <c r="C5" s="48">
        <f>Control_1 Close_time</f>
        <v>4.1666666666666664E-2</v>
      </c>
      <c r="D5" s="102"/>
      <c r="E5" s="97"/>
      <c r="F5" s="15"/>
      <c r="G5" s="14"/>
      <c r="H5" s="40" t="s">
        <v>30</v>
      </c>
      <c r="K5" s="23"/>
      <c r="N5" s="122" t="s">
        <v>49</v>
      </c>
      <c r="O5" s="122"/>
      <c r="P5" s="80" t="str">
        <f>IF(ISBLANK(Brevet_Number),"",Brevet_Number)</f>
        <v/>
      </c>
      <c r="Q5" s="71"/>
      <c r="R5" s="104">
        <f>IF(ISBLANK('Control Entry'!$B5),"",'Control Entry'!$B5)</f>
        <v>44415</v>
      </c>
      <c r="S5" s="104"/>
      <c r="T5" s="104"/>
      <c r="U5" s="104"/>
      <c r="V5" s="63"/>
    </row>
    <row r="6" spans="1:22" ht="36" customHeight="1" x14ac:dyDescent="0.2">
      <c r="A6" s="44"/>
      <c r="B6" s="45">
        <f>Control_2 Open_time</f>
        <v>4.027777777777778E-2</v>
      </c>
      <c r="C6" s="45">
        <f>Control_2 Close_time</f>
        <v>9.0277777777777776E-2</v>
      </c>
      <c r="D6" s="100" t="str">
        <f>IF(ISBLANK(Locale Control_2),"",Locale Control_2)</f>
        <v>North Vancouver, Myrtle Park</v>
      </c>
      <c r="E6" s="46" t="str">
        <f>IF(ISBLANK(Control_2 Establishment_1),"",Control_2 Establishment_1)</f>
        <v>Sign on outside wall of washrooms</v>
      </c>
      <c r="F6" s="85"/>
      <c r="G6" s="12"/>
      <c r="H6" s="40" t="s">
        <v>30</v>
      </c>
      <c r="K6" s="23"/>
      <c r="M6" s="116" t="str">
        <f>IF(ISBLANK(Brevet_Description),"",Brevet_Description)</f>
        <v>See More than the Seymour Dam - Permanent #239, 203 km</v>
      </c>
      <c r="N6" s="116"/>
      <c r="O6" s="116"/>
      <c r="P6" s="116"/>
      <c r="Q6" s="116"/>
      <c r="R6" s="116"/>
      <c r="S6" s="116"/>
      <c r="T6" s="116"/>
    </row>
    <row r="7" spans="1:22" ht="36" customHeight="1" thickBot="1" x14ac:dyDescent="0.25">
      <c r="A7" s="52">
        <f>IF(ISBLANK(Distance Control_2),"",Control_2 Distance)</f>
        <v>32.6</v>
      </c>
      <c r="B7" s="53">
        <f>Control_2 Open_time</f>
        <v>4.027777777777778E-2</v>
      </c>
      <c r="C7" s="53">
        <f>Control_2 Close_time</f>
        <v>9.0277777777777776E-2</v>
      </c>
      <c r="D7" s="101"/>
      <c r="E7" s="96" t="str">
        <f>IF(ISBLANK(Control_2 Establishment_2),"",Control_2 Establishment_2)</f>
        <v>"S____   p____ users play at their own risk."</v>
      </c>
      <c r="F7" s="93" t="s">
        <v>63</v>
      </c>
      <c r="G7" s="12"/>
      <c r="H7" s="40" t="s">
        <v>30</v>
      </c>
      <c r="J7" s="24" t="s">
        <v>35</v>
      </c>
      <c r="L7" s="110"/>
      <c r="M7" s="110"/>
      <c r="N7" s="110"/>
      <c r="O7" s="110"/>
      <c r="P7" s="110"/>
      <c r="Q7" s="110"/>
      <c r="S7" s="65" t="s">
        <v>48</v>
      </c>
      <c r="T7" s="31"/>
      <c r="U7" s="30"/>
    </row>
    <row r="8" spans="1:22" ht="36" customHeight="1" thickBot="1" x14ac:dyDescent="0.3">
      <c r="A8" s="47"/>
      <c r="B8" s="48">
        <f>Control_2 Open_time</f>
        <v>4.027777777777778E-2</v>
      </c>
      <c r="C8" s="48">
        <f>Control_2 Close_time</f>
        <v>9.0277777777777776E-2</v>
      </c>
      <c r="D8" s="102"/>
      <c r="E8" s="97"/>
      <c r="F8" s="15"/>
      <c r="G8" s="14"/>
      <c r="H8" s="40" t="s">
        <v>30</v>
      </c>
      <c r="J8" s="24" t="s">
        <v>36</v>
      </c>
      <c r="K8" s="24"/>
      <c r="L8" s="81" t="s">
        <v>56</v>
      </c>
      <c r="M8" s="31"/>
      <c r="N8" s="31"/>
      <c r="O8" s="31"/>
      <c r="P8" s="31"/>
      <c r="Q8" s="31"/>
      <c r="R8" s="31"/>
      <c r="S8" s="31"/>
      <c r="T8" s="31"/>
      <c r="U8" s="28"/>
    </row>
    <row r="9" spans="1:22" ht="36" customHeight="1" thickBot="1" x14ac:dyDescent="0.3">
      <c r="A9" s="44"/>
      <c r="B9" s="45">
        <f>Control_3 Open_time</f>
        <v>6.805555555555555E-2</v>
      </c>
      <c r="C9" s="45">
        <f>Control_3 Close_time</f>
        <v>0.15486111111111112</v>
      </c>
      <c r="D9" s="100" t="str">
        <f>IF(ISBLANK(Locale Control_3),"",Locale Control_3)</f>
        <v>North Vancouver, Seymour Dam gate</v>
      </c>
      <c r="E9" s="46" t="str">
        <f>IF(ISBLANK(Control_3 Establishment_1),"",Control_3 Establishment_1)</f>
        <v>Sign on gate</v>
      </c>
      <c r="F9" s="13"/>
      <c r="G9" s="12"/>
      <c r="H9" s="40" t="s">
        <v>30</v>
      </c>
      <c r="J9" s="24"/>
      <c r="K9" s="24"/>
      <c r="L9" s="41"/>
      <c r="M9" s="31"/>
      <c r="N9" s="31"/>
      <c r="O9" s="31"/>
      <c r="P9" s="31"/>
      <c r="Q9" s="31"/>
      <c r="R9" s="31"/>
      <c r="S9" s="31"/>
      <c r="T9" s="31"/>
      <c r="U9" s="28"/>
    </row>
    <row r="10" spans="1:22" ht="36" customHeight="1" thickBot="1" x14ac:dyDescent="0.3">
      <c r="A10" s="52">
        <f>IF(ISBLANK(Distance Control_3),"",Control_3 Distance)</f>
        <v>55.7</v>
      </c>
      <c r="B10" s="53">
        <f>Control_3 Open_time</f>
        <v>6.805555555555555E-2</v>
      </c>
      <c r="C10" s="89">
        <f>Control_3 Close_time</f>
        <v>0.15486111111111112</v>
      </c>
      <c r="D10" s="101"/>
      <c r="E10" s="98" t="str">
        <f>IF(ISBLANK(Control_3 Establishment_2),"",Control_3 Establishment_2)</f>
        <v>"Failure to do so may result in damage to the g___ and b___."</v>
      </c>
      <c r="F10" s="93" t="s">
        <v>62</v>
      </c>
      <c r="G10" s="12"/>
      <c r="H10" s="40" t="s">
        <v>30</v>
      </c>
      <c r="J10" s="24" t="s">
        <v>37</v>
      </c>
      <c r="K10" s="24"/>
      <c r="L10" s="41"/>
      <c r="M10" s="31"/>
      <c r="N10" s="31"/>
      <c r="O10" s="24"/>
      <c r="P10" s="24" t="s">
        <v>38</v>
      </c>
      <c r="Q10" s="24"/>
      <c r="R10" s="24"/>
      <c r="S10" s="68"/>
      <c r="T10" s="41"/>
      <c r="U10" s="28"/>
    </row>
    <row r="11" spans="1:22" ht="36" customHeight="1" thickBot="1" x14ac:dyDescent="0.3">
      <c r="A11" s="47"/>
      <c r="B11" s="48">
        <f>Control_3 Open_time</f>
        <v>6.805555555555555E-2</v>
      </c>
      <c r="C11" s="48">
        <f>Control_3 Close_time</f>
        <v>0.15486111111111112</v>
      </c>
      <c r="D11" s="102"/>
      <c r="E11" s="99"/>
      <c r="F11" s="15"/>
      <c r="G11" s="14"/>
      <c r="H11" s="40" t="s">
        <v>30</v>
      </c>
      <c r="J11" s="24" t="s">
        <v>39</v>
      </c>
      <c r="K11" s="24"/>
      <c r="L11" s="41"/>
      <c r="M11" s="31"/>
      <c r="N11" s="31"/>
      <c r="O11" s="24"/>
      <c r="P11" s="24" t="s">
        <v>40</v>
      </c>
      <c r="Q11" s="24"/>
      <c r="R11" s="24"/>
      <c r="S11" s="68"/>
      <c r="T11" s="41"/>
      <c r="U11" s="28"/>
    </row>
    <row r="12" spans="1:22" ht="36" customHeight="1" thickBot="1" x14ac:dyDescent="0.3">
      <c r="A12" s="44"/>
      <c r="B12" s="45">
        <f>Control_4 Open_time</f>
        <v>0.1451388888888889</v>
      </c>
      <c r="C12" s="45">
        <f>Control_4 Close_time</f>
        <v>0.32916666666666666</v>
      </c>
      <c r="D12" s="100" t="str">
        <f>IF(ISBLANK(Locale Control_4),"",Locale Control_4)</f>
        <v>Richmond, Iona Park Washrooms</v>
      </c>
      <c r="E12" s="46" t="str">
        <f>IF(ISBLANK(Control_4 Establishment_1),"",Control_4 Establishment_1)</f>
        <v>Sign at drinking fountain</v>
      </c>
      <c r="F12" s="85"/>
      <c r="G12" s="12"/>
      <c r="H12" s="40" t="s">
        <v>30</v>
      </c>
      <c r="J12" s="24" t="s">
        <v>41</v>
      </c>
      <c r="L12" s="42"/>
      <c r="M12" s="38"/>
      <c r="N12" s="38"/>
      <c r="P12" s="24" t="s">
        <v>42</v>
      </c>
      <c r="Q12" s="24"/>
      <c r="R12" s="43"/>
      <c r="S12" s="25"/>
      <c r="T12" s="25"/>
      <c r="U12" s="29"/>
    </row>
    <row r="13" spans="1:22" ht="36" customHeight="1" x14ac:dyDescent="0.2">
      <c r="A13" s="52">
        <f>IF(ISBLANK(Distance Control_4),"",Control_4 Distance)</f>
        <v>118.6</v>
      </c>
      <c r="B13" s="89">
        <f>Control_4 Open_time</f>
        <v>0.1451388888888889</v>
      </c>
      <c r="C13" s="53">
        <f>Control_4 Close_time</f>
        <v>0.32916666666666666</v>
      </c>
      <c r="D13" s="101"/>
      <c r="E13" s="96" t="str">
        <f>IF(ISBLANK(Control_4 Establishment_2),"",Control_4 Establishment_2)</f>
        <v>"s___ and m__" will clog the pipe.</v>
      </c>
      <c r="F13" s="93" t="s">
        <v>77</v>
      </c>
      <c r="G13" s="12"/>
      <c r="H13" s="40" t="s">
        <v>30</v>
      </c>
      <c r="L13" s="123" t="s">
        <v>60</v>
      </c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2" ht="36" customHeight="1" thickBot="1" x14ac:dyDescent="0.25">
      <c r="A14" s="47"/>
      <c r="B14" s="48">
        <f>Control_4 Open_time</f>
        <v>0.1451388888888889</v>
      </c>
      <c r="C14" s="48">
        <f>Control_4 Close_time</f>
        <v>0.32916666666666666</v>
      </c>
      <c r="D14" s="102"/>
      <c r="E14" s="97"/>
      <c r="F14" s="15"/>
      <c r="G14" s="14"/>
      <c r="H14" s="40" t="s">
        <v>30</v>
      </c>
      <c r="J14" s="24"/>
      <c r="L14" s="118"/>
      <c r="M14" s="118"/>
      <c r="N14" s="118"/>
      <c r="O14" s="118"/>
      <c r="P14" s="118"/>
      <c r="Q14" s="119"/>
      <c r="R14" s="119"/>
      <c r="S14" s="119"/>
      <c r="T14" s="119"/>
      <c r="U14" s="119"/>
    </row>
    <row r="15" spans="1:22" ht="36" customHeight="1" x14ac:dyDescent="0.2">
      <c r="A15" s="44"/>
      <c r="B15" s="45">
        <f>Control_5 Open_time</f>
        <v>0.20277777777777781</v>
      </c>
      <c r="C15" s="45">
        <f>Control_5 Close_time</f>
        <v>0.4604166666666667</v>
      </c>
      <c r="D15" s="100" t="str">
        <f>IF(ISBLANK(Locale Control_5),"",Locale Control_5)</f>
        <v>Delta, Burns Dr @ 64 St, bike path entrance</v>
      </c>
      <c r="E15" s="46" t="str">
        <f>IF(ISBLANK(Control_5 Establishment_1),"",Control_5 Establishment_1)</f>
        <v>Bright yellow sign</v>
      </c>
      <c r="F15" s="85"/>
      <c r="G15" s="12"/>
      <c r="H15" s="40" t="s">
        <v>30</v>
      </c>
    </row>
    <row r="16" spans="1:22" ht="36" customHeight="1" x14ac:dyDescent="0.2">
      <c r="A16" s="52">
        <f>IF(ISBLANK(Distance Control_5),"",Control_5 Distance)</f>
        <v>165.7</v>
      </c>
      <c r="B16" s="89">
        <f>Control_5 Open_time</f>
        <v>0.20277777777777781</v>
      </c>
      <c r="C16" s="53">
        <f>Control_5 Close_time</f>
        <v>0.4604166666666667</v>
      </c>
      <c r="D16" s="101"/>
      <c r="E16" s="96" t="str">
        <f>IF(ISBLANK(Control_5 Establishment_2),"",Control_5 Establishment_2)</f>
        <v>"Warning G___ P____"</v>
      </c>
      <c r="F16" s="93" t="s">
        <v>76</v>
      </c>
      <c r="G16" s="12"/>
      <c r="H16" s="40" t="s">
        <v>30</v>
      </c>
    </row>
    <row r="17" spans="1:22" ht="36" customHeight="1" thickBot="1" x14ac:dyDescent="0.25">
      <c r="A17" s="47"/>
      <c r="B17" s="48">
        <f>Control_5 Open_time</f>
        <v>0.20277777777777781</v>
      </c>
      <c r="C17" s="48">
        <f>Control_5 Close_time</f>
        <v>0.4604166666666667</v>
      </c>
      <c r="D17" s="102"/>
      <c r="E17" s="97"/>
      <c r="F17" s="15"/>
      <c r="G17" s="14"/>
      <c r="H17" s="40" t="s">
        <v>30</v>
      </c>
    </row>
    <row r="18" spans="1:22" ht="36" customHeight="1" x14ac:dyDescent="0.2">
      <c r="A18" s="44"/>
      <c r="B18" s="45">
        <f>Control_6 Open_time</f>
        <v>0.25</v>
      </c>
      <c r="C18" s="45">
        <f>Control_6 Close_time</f>
        <v>0.5625</v>
      </c>
      <c r="D18" s="100" t="str">
        <f>IF(ISBLANK(Locale Control_6),"",Locale Control_6)</f>
        <v>Vancouver, Ross St @ 43rd Ave</v>
      </c>
      <c r="E18" s="103" t="str">
        <f>IF(ISBLANK(Control_6 Establishment_1),"",Control_6 Establishment_1)</f>
        <v>Initial upon completion.</v>
      </c>
      <c r="F18" s="85" t="s">
        <v>83</v>
      </c>
      <c r="G18" s="12"/>
      <c r="H18" s="40" t="s">
        <v>30</v>
      </c>
    </row>
    <row r="19" spans="1:22" ht="36" customHeight="1" x14ac:dyDescent="0.2">
      <c r="A19" s="52">
        <f>IF(ISBLANK(Distance Control_6),"",Control_6 Distance)</f>
        <v>203.7</v>
      </c>
      <c r="B19" s="89">
        <f>Control_6 Open_time</f>
        <v>0.25</v>
      </c>
      <c r="C19" s="53">
        <f>Control_6 Close_time</f>
        <v>0.5625</v>
      </c>
      <c r="D19" s="101"/>
      <c r="E19" s="96"/>
      <c r="F19" s="93" t="s">
        <v>84</v>
      </c>
      <c r="G19" s="12"/>
      <c r="H19" s="40" t="s">
        <v>30</v>
      </c>
    </row>
    <row r="20" spans="1:22" ht="36" customHeight="1" thickBot="1" x14ac:dyDescent="0.25">
      <c r="A20" s="47"/>
      <c r="B20" s="48">
        <f>Control_6 Open_time</f>
        <v>0.25</v>
      </c>
      <c r="C20" s="48">
        <f>Control_6 Close_time</f>
        <v>0.5625</v>
      </c>
      <c r="D20" s="102"/>
      <c r="E20" s="97"/>
      <c r="F20" s="15"/>
      <c r="G20" s="14"/>
      <c r="H20" s="40" t="s">
        <v>30</v>
      </c>
      <c r="K20" s="57"/>
    </row>
    <row r="21" spans="1:22" ht="36" customHeight="1" thickBot="1" x14ac:dyDescent="0.25">
      <c r="A21" s="44"/>
      <c r="B21" s="45" t="str">
        <f>Control_7 Open_time</f>
        <v/>
      </c>
      <c r="C21" s="45" t="str">
        <f>Control_7 Close_time</f>
        <v/>
      </c>
      <c r="D21" s="51"/>
      <c r="E21" s="46" t="str">
        <f>IF(ISBLANK(Control_7 Establishment_1),"",Control_7 Establishment_1)</f>
        <v/>
      </c>
      <c r="F21" s="85"/>
      <c r="G21" s="12"/>
      <c r="H21" s="40" t="s">
        <v>30</v>
      </c>
    </row>
    <row r="22" spans="1:22" ht="36" customHeight="1" thickBot="1" x14ac:dyDescent="0.25">
      <c r="A22" s="52" t="str">
        <f>IF(ISBLANK(Distance Control_7),"",Control_7 Distance)</f>
        <v/>
      </c>
      <c r="B22" s="89" t="str">
        <f>Control_7 Open_time</f>
        <v/>
      </c>
      <c r="C22" s="53" t="str">
        <f>Control_7 Close_time</f>
        <v/>
      </c>
      <c r="D22" s="54" t="str">
        <f>IF(ISBLANK(Locale Control_7),"",Locale Control_7)</f>
        <v/>
      </c>
      <c r="E22" s="46" t="str">
        <f>IF(ISBLANK(Control_7 Establishment_2),"",Control_7 Establishment_2)</f>
        <v/>
      </c>
      <c r="F22" s="87"/>
      <c r="G22" s="12"/>
      <c r="H22" s="40" t="s">
        <v>30</v>
      </c>
      <c r="J22" s="107" t="s">
        <v>46</v>
      </c>
      <c r="K22" s="107"/>
      <c r="L22" s="108" t="str">
        <f>IF(ISBLANK(Start_date),"",Start_date)</f>
        <v/>
      </c>
      <c r="M22" s="108"/>
      <c r="N22" s="108"/>
      <c r="P22" s="24" t="s">
        <v>0</v>
      </c>
      <c r="Q22" s="24"/>
      <c r="S22" s="109">
        <f>'Control Entry'!B8</f>
        <v>0</v>
      </c>
      <c r="T22" s="109"/>
      <c r="U22" s="109"/>
    </row>
    <row r="23" spans="1:22" ht="36" customHeight="1" thickBot="1" x14ac:dyDescent="0.25">
      <c r="A23" s="47"/>
      <c r="B23" s="48" t="str">
        <f>Control_7 Open_time</f>
        <v/>
      </c>
      <c r="C23" s="48" t="str">
        <f>Control_7 Close_time</f>
        <v/>
      </c>
      <c r="D23" s="49"/>
      <c r="E23" s="50" t="str">
        <f>IF(ISBLANK(Control_7 Establishment_3),"",Control_7 Establishment_3)</f>
        <v/>
      </c>
      <c r="F23" s="15"/>
      <c r="G23" s="14"/>
      <c r="H23" s="40" t="s">
        <v>30</v>
      </c>
      <c r="J23" s="107"/>
      <c r="K23" s="107"/>
      <c r="L23" s="106"/>
      <c r="M23" s="106"/>
      <c r="N23" s="106"/>
      <c r="P23" s="24"/>
      <c r="Q23" s="24"/>
      <c r="S23" s="111"/>
      <c r="T23" s="111"/>
      <c r="U23" s="111"/>
    </row>
    <row r="24" spans="1:22" ht="36" customHeight="1" thickBot="1" x14ac:dyDescent="0.25">
      <c r="A24" s="44"/>
      <c r="B24" s="45" t="str">
        <f>Control_8 Open_time</f>
        <v/>
      </c>
      <c r="C24" s="45" t="str">
        <f>Control_8 Close_time</f>
        <v/>
      </c>
      <c r="D24" s="51"/>
      <c r="E24" s="46" t="str">
        <f>IF(ISBLANK(Control_8 Establishment_1),"",Control_8 Establishment_1)</f>
        <v/>
      </c>
      <c r="F24" s="85"/>
      <c r="G24" s="12"/>
      <c r="H24" s="40" t="s">
        <v>30</v>
      </c>
      <c r="J24" s="107" t="s">
        <v>47</v>
      </c>
      <c r="K24" s="107"/>
      <c r="L24" s="121"/>
      <c r="M24" s="121"/>
      <c r="N24" s="121"/>
      <c r="P24" s="24" t="s">
        <v>1</v>
      </c>
      <c r="Q24" s="24"/>
      <c r="S24" s="125"/>
      <c r="T24" s="125"/>
      <c r="U24" s="125"/>
    </row>
    <row r="25" spans="1:22" ht="36" customHeight="1" x14ac:dyDescent="0.2">
      <c r="A25" s="52" t="str">
        <f>IF(ISBLANK(Distance Control_8),"",Control_8 Distance)</f>
        <v/>
      </c>
      <c r="B25" s="89" t="str">
        <f>Control_8 Open_time</f>
        <v/>
      </c>
      <c r="C25" s="53" t="str">
        <f>Control_8 Close_time</f>
        <v/>
      </c>
      <c r="D25" s="54" t="str">
        <f>IF(ISBLANK(Locale Control_8),"",Locale Control_8)</f>
        <v/>
      </c>
      <c r="E25" s="83" t="str">
        <f>IF(ISBLANK(Control_8 Establishment_2),"",Control_8 Establishment_2)</f>
        <v/>
      </c>
      <c r="F25" s="87"/>
      <c r="G25" s="12"/>
      <c r="H25" s="40" t="s">
        <v>30</v>
      </c>
      <c r="J25" s="107"/>
      <c r="K25" s="107"/>
      <c r="L25" s="106"/>
      <c r="M25" s="106"/>
      <c r="N25" s="106"/>
      <c r="P25" s="24"/>
      <c r="Q25" s="24"/>
    </row>
    <row r="26" spans="1:22" ht="36" customHeight="1" thickBot="1" x14ac:dyDescent="0.25">
      <c r="A26" s="47"/>
      <c r="B26" s="48" t="str">
        <f>Control_8 Open_time</f>
        <v/>
      </c>
      <c r="C26" s="48" t="str">
        <f>Control_8 Close_time</f>
        <v/>
      </c>
      <c r="D26" s="49"/>
      <c r="E26" s="50" t="str">
        <f>IF(ISBLANK(Control_8 Establishment_3),"",Control_8 Establishment_3)</f>
        <v/>
      </c>
      <c r="F26" s="15"/>
      <c r="G26" s="14"/>
      <c r="H26" s="40" t="s">
        <v>30</v>
      </c>
      <c r="J26" s="25"/>
      <c r="K26" s="25"/>
      <c r="L26" s="25"/>
      <c r="M26" s="25"/>
      <c r="N26" s="25"/>
      <c r="P26" s="24" t="s">
        <v>2</v>
      </c>
      <c r="Q26" s="24"/>
      <c r="S26" s="25"/>
      <c r="T26" s="25"/>
      <c r="U26" s="25"/>
    </row>
    <row r="27" spans="1:22" ht="36" customHeight="1" x14ac:dyDescent="0.2">
      <c r="A27" s="44"/>
      <c r="B27" s="45" t="str">
        <f>Control_9 Open_time</f>
        <v/>
      </c>
      <c r="C27" s="45" t="str">
        <f>Control_9 Close_time</f>
        <v/>
      </c>
      <c r="D27" s="51"/>
      <c r="E27" s="46" t="str">
        <f>IF(ISBLANK(Control_9 Establishment_1),"",Control_9 Establishment_1)</f>
        <v/>
      </c>
      <c r="F27" s="85"/>
      <c r="G27" s="12"/>
      <c r="H27" s="40" t="s">
        <v>30</v>
      </c>
      <c r="J27" s="124" t="s">
        <v>17</v>
      </c>
      <c r="K27" s="124"/>
      <c r="L27" s="124"/>
      <c r="M27" s="124"/>
      <c r="N27" s="124"/>
      <c r="O27" s="74"/>
      <c r="P27" s="117"/>
      <c r="Q27" s="117"/>
      <c r="R27" s="74"/>
      <c r="S27" s="120"/>
      <c r="T27" s="120"/>
      <c r="U27" s="120"/>
      <c r="V27" s="120"/>
    </row>
    <row r="28" spans="1:22" ht="36" customHeight="1" x14ac:dyDescent="0.2">
      <c r="A28" s="52" t="str">
        <f>IF(ISBLANK(Distance Control_9),"",Control_9 Distance)</f>
        <v/>
      </c>
      <c r="B28" s="53" t="str">
        <f>Control_9 Open_time</f>
        <v/>
      </c>
      <c r="C28" s="53" t="str">
        <f>Control_9 Close_time</f>
        <v/>
      </c>
      <c r="D28" s="54" t="str">
        <f>IF(ISBLANK(Locale Control_9),"",Locale Control_9)</f>
        <v/>
      </c>
      <c r="E28" s="46" t="str">
        <f>IF(ISBLANK(Control_9 Establishment_2),"",Control_9 Establishment_2)</f>
        <v/>
      </c>
      <c r="F28" s="87"/>
      <c r="G28" s="12"/>
      <c r="H28" s="40" t="s">
        <v>30</v>
      </c>
      <c r="K28" s="114" t="s">
        <v>58</v>
      </c>
      <c r="L28" s="114"/>
      <c r="M28" s="73" t="s">
        <v>59</v>
      </c>
      <c r="N28" s="117" t="s">
        <v>51</v>
      </c>
      <c r="O28" s="117"/>
      <c r="P28" s="117" t="s">
        <v>52</v>
      </c>
      <c r="Q28" s="117"/>
      <c r="R28" s="74" t="s">
        <v>53</v>
      </c>
      <c r="S28" s="120" t="s">
        <v>54</v>
      </c>
      <c r="T28" s="120"/>
      <c r="U28" s="120" t="s">
        <v>55</v>
      </c>
      <c r="V28" s="120"/>
    </row>
    <row r="29" spans="1:22" ht="36" customHeight="1" thickBot="1" x14ac:dyDescent="0.25">
      <c r="A29" s="47"/>
      <c r="B29" s="48" t="str">
        <f>Control_9 Open_time</f>
        <v/>
      </c>
      <c r="C29" s="48" t="str">
        <f>Control_9 Close_time</f>
        <v/>
      </c>
      <c r="D29" s="49"/>
      <c r="E29" s="50" t="str">
        <f>IF(ISBLANK(Control_9 Establishment_3),"",Control_9 Establishment_3)</f>
        <v/>
      </c>
      <c r="F29" s="15"/>
      <c r="G29" s="14"/>
      <c r="H29" s="40" t="s">
        <v>30</v>
      </c>
      <c r="M29" s="126" t="s">
        <v>43</v>
      </c>
      <c r="N29" s="126"/>
      <c r="O29" s="126"/>
      <c r="P29" s="126"/>
      <c r="Q29" s="126"/>
      <c r="R29" s="126"/>
      <c r="S29" s="126"/>
      <c r="T29" s="126"/>
      <c r="U29" s="86"/>
    </row>
    <row r="30" spans="1:22" ht="36" customHeight="1" x14ac:dyDescent="0.2">
      <c r="A30" s="44"/>
      <c r="B30" s="45" t="str">
        <f>Control_10 Open_time</f>
        <v/>
      </c>
      <c r="C30" s="45" t="str">
        <f>Control_10 Close_time</f>
        <v/>
      </c>
      <c r="D30" s="51"/>
      <c r="E30" s="46" t="str">
        <f>IF(ISBLANK(Control_10 Establishment_1),"",Control_10 Establishment_1)</f>
        <v/>
      </c>
      <c r="F30" s="85"/>
      <c r="G30" s="12"/>
      <c r="H30" s="40" t="s">
        <v>30</v>
      </c>
      <c r="M30" s="26"/>
      <c r="N30" s="32"/>
      <c r="O30" s="32"/>
      <c r="P30" s="33"/>
      <c r="Q30" s="32"/>
      <c r="R30" s="32"/>
      <c r="S30" s="32"/>
      <c r="T30" s="33"/>
    </row>
    <row r="31" spans="1:22" ht="36" customHeight="1" x14ac:dyDescent="0.2">
      <c r="A31" s="52" t="str">
        <f>IF(ISBLANK(Distance Control_10),"",Control_10 Distance)</f>
        <v/>
      </c>
      <c r="B31" s="53" t="str">
        <f>Control_10 Open_time</f>
        <v/>
      </c>
      <c r="C31" s="53" t="str">
        <f>Control_10 Close_time</f>
        <v/>
      </c>
      <c r="D31" s="54" t="str">
        <f>IF(ISBLANK(Locale Control_10),"",Locale Control_10)</f>
        <v/>
      </c>
      <c r="E31" s="46" t="str">
        <f>IF(ISBLANK(Control_10 Establishment_2),"",Control_10 Establishment_2)</f>
        <v/>
      </c>
      <c r="F31" s="88"/>
      <c r="G31" s="12"/>
      <c r="H31" s="40" t="s">
        <v>30</v>
      </c>
      <c r="M31" s="27"/>
      <c r="P31" s="34"/>
      <c r="T31" s="34"/>
    </row>
    <row r="32" spans="1:22" ht="36" customHeight="1" thickBot="1" x14ac:dyDescent="0.25">
      <c r="A32" s="47"/>
      <c r="B32" s="48" t="str">
        <f>Control_10 Open_time</f>
        <v/>
      </c>
      <c r="C32" s="48" t="str">
        <f>Control_10 Close_time</f>
        <v/>
      </c>
      <c r="D32" s="49"/>
      <c r="E32" s="50" t="str">
        <f>IF(ISBLANK(Control_10 Establishment_3),"",Control_10 Establishment_3)</f>
        <v/>
      </c>
      <c r="F32" s="84"/>
      <c r="G32" s="14"/>
      <c r="H32" s="40" t="s">
        <v>30</v>
      </c>
      <c r="M32" s="82"/>
      <c r="N32" s="25"/>
      <c r="O32" s="25"/>
      <c r="P32" s="35"/>
      <c r="Q32" s="25"/>
      <c r="R32" s="25"/>
      <c r="S32" s="25"/>
      <c r="T32" s="35"/>
    </row>
    <row r="33" spans="1:22" ht="36" customHeight="1" x14ac:dyDescent="0.2">
      <c r="A33" s="113" t="s">
        <v>44</v>
      </c>
      <c r="B33" s="113"/>
      <c r="C33" s="113"/>
      <c r="D33" s="113"/>
      <c r="E33" s="113"/>
      <c r="F33" s="113"/>
      <c r="G33" s="113"/>
      <c r="H33" s="56"/>
      <c r="I33" s="56"/>
      <c r="N33" s="127"/>
      <c r="O33" s="127"/>
      <c r="P33" s="127"/>
      <c r="Q33" s="127"/>
      <c r="R33" s="127"/>
      <c r="S33" s="127"/>
      <c r="T33" s="127"/>
      <c r="U33" s="127"/>
      <c r="V33" s="72"/>
    </row>
    <row r="34" spans="1:22" ht="36" customHeight="1" x14ac:dyDescent="0.2">
      <c r="A34"/>
      <c r="O34" s="24"/>
      <c r="P34" s="24"/>
      <c r="Q34" s="24"/>
      <c r="R34" s="69"/>
    </row>
    <row r="35" spans="1:22" ht="36" customHeight="1" x14ac:dyDescent="0.2">
      <c r="A35"/>
      <c r="N35" s="126"/>
      <c r="O35" s="126"/>
      <c r="P35" s="126"/>
      <c r="Q35" s="126"/>
      <c r="R35" s="126"/>
      <c r="S35" s="126"/>
      <c r="T35" s="126"/>
      <c r="U35" s="126"/>
    </row>
    <row r="36" spans="1:22" ht="36" customHeight="1" x14ac:dyDescent="0.15">
      <c r="A36"/>
    </row>
    <row r="37" spans="1:22" ht="36" customHeight="1" x14ac:dyDescent="0.15">
      <c r="A37"/>
    </row>
    <row r="38" spans="1:22" ht="36" customHeight="1" x14ac:dyDescent="0.2">
      <c r="A38"/>
      <c r="N38" s="24"/>
    </row>
    <row r="39" spans="1:22" ht="36" customHeight="1" x14ac:dyDescent="0.15">
      <c r="A39"/>
    </row>
    <row r="40" spans="1:22" ht="36" customHeight="1" x14ac:dyDescent="0.15">
      <c r="A40"/>
    </row>
  </sheetData>
  <mergeCells count="47">
    <mergeCell ref="J27:N27"/>
    <mergeCell ref="S24:U24"/>
    <mergeCell ref="J25:K25"/>
    <mergeCell ref="N35:U35"/>
    <mergeCell ref="M29:T29"/>
    <mergeCell ref="N28:O28"/>
    <mergeCell ref="P28:Q28"/>
    <mergeCell ref="S28:T28"/>
    <mergeCell ref="U28:V28"/>
    <mergeCell ref="N33:U33"/>
    <mergeCell ref="A1:G1"/>
    <mergeCell ref="A33:G33"/>
    <mergeCell ref="M4:T4"/>
    <mergeCell ref="N3:S3"/>
    <mergeCell ref="M6:T6"/>
    <mergeCell ref="J23:K23"/>
    <mergeCell ref="P27:Q27"/>
    <mergeCell ref="L14:P14"/>
    <mergeCell ref="Q14:U14"/>
    <mergeCell ref="S27:T27"/>
    <mergeCell ref="U27:V27"/>
    <mergeCell ref="L24:N24"/>
    <mergeCell ref="N5:O5"/>
    <mergeCell ref="K28:L28"/>
    <mergeCell ref="L13:U13"/>
    <mergeCell ref="K2:U2"/>
    <mergeCell ref="L25:N25"/>
    <mergeCell ref="J24:K24"/>
    <mergeCell ref="L23:N23"/>
    <mergeCell ref="L22:N22"/>
    <mergeCell ref="J22:K22"/>
    <mergeCell ref="S22:U22"/>
    <mergeCell ref="L7:Q7"/>
    <mergeCell ref="S23:U23"/>
    <mergeCell ref="E7:E8"/>
    <mergeCell ref="E4:E5"/>
    <mergeCell ref="D3:D5"/>
    <mergeCell ref="D6:D8"/>
    <mergeCell ref="R5:U5"/>
    <mergeCell ref="E16:E17"/>
    <mergeCell ref="E13:E14"/>
    <mergeCell ref="E10:E11"/>
    <mergeCell ref="D15:D17"/>
    <mergeCell ref="D18:D20"/>
    <mergeCell ref="D9:D11"/>
    <mergeCell ref="D12:D14"/>
    <mergeCell ref="E18:E20"/>
  </mergeCells>
  <phoneticPr fontId="16" type="noConversion"/>
  <printOptions horizontalCentered="1" verticalCentered="1"/>
  <pageMargins left="0.2" right="0.2" top="0.2" bottom="0.2" header="0.51" footer="0.51"/>
  <pageSetup scale="46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Control Entry</vt:lpstr>
      <vt:lpstr>Control Card</vt:lpstr>
      <vt:lpstr>brevet</vt:lpstr>
      <vt:lpstr>Brevet_Description</vt:lpstr>
      <vt:lpstr>Brevet_Length</vt:lpstr>
      <vt:lpstr>Brevet_Number</vt:lpstr>
      <vt:lpstr>Close</vt:lpstr>
      <vt:lpstr>Close_time</vt:lpstr>
      <vt:lpstr>Control_1</vt:lpstr>
      <vt:lpstr>Control_10</vt:lpstr>
      <vt:lpstr>Control_2</vt:lpstr>
      <vt:lpstr>Control_3</vt:lpstr>
      <vt:lpstr>Control_4</vt:lpstr>
      <vt:lpstr>Control_5</vt:lpstr>
      <vt:lpstr>Control_6</vt:lpstr>
      <vt:lpstr>Control_7</vt:lpstr>
      <vt:lpstr>Control_8</vt:lpstr>
      <vt:lpstr>Control_9</vt:lpstr>
      <vt:lpstr>Distance</vt:lpstr>
      <vt:lpstr>Establishment_1</vt:lpstr>
      <vt:lpstr>Establishment_2</vt:lpstr>
      <vt:lpstr>Establishment_3</vt:lpstr>
      <vt:lpstr>Locale</vt:lpstr>
      <vt:lpstr>Max_time</vt:lpstr>
      <vt:lpstr>Open</vt:lpstr>
      <vt:lpstr>Open_time</vt:lpstr>
      <vt:lpstr>'Control Card'!Print_Titles</vt:lpstr>
      <vt:lpstr>Start_date</vt:lpstr>
      <vt:lpstr>Start_time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Eric Fergusson</cp:lastModifiedBy>
  <cp:lastPrinted>2021-07-25T04:44:45Z</cp:lastPrinted>
  <dcterms:created xsi:type="dcterms:W3CDTF">1997-11-12T04:43:39Z</dcterms:created>
  <dcterms:modified xsi:type="dcterms:W3CDTF">2023-12-27T18:33:33Z</dcterms:modified>
</cp:coreProperties>
</file>