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6"/>
  <workbookPr showInkAnnotation="0" autoCompressPictures="0"/>
  <mc:AlternateContent xmlns:mc="http://schemas.openxmlformats.org/markup-compatibility/2006">
    <mc:Choice Requires="x15">
      <x15ac:absPath xmlns:x15ac="http://schemas.microsoft.com/office/spreadsheetml/2010/11/ac" url="/Users/Eric/Desktop/"/>
    </mc:Choice>
  </mc:AlternateContent>
  <xr:revisionPtr revIDLastSave="0" documentId="13_ncr:1_{AF62856B-1C49-1E45-8FB2-DF1E6D10ECFF}" xr6:coauthVersionLast="47" xr6:coauthVersionMax="47" xr10:uidLastSave="{00000000-0000-0000-0000-000000000000}"/>
  <bookViews>
    <workbookView xWindow="0" yWindow="500" windowWidth="32260" windowHeight="22200" tabRatio="509" activeTab="1" xr2:uid="{00000000-000D-0000-FFFF-FFFF00000000}"/>
  </bookViews>
  <sheets>
    <sheet name="Control Entry" sheetId="1" r:id="rId1"/>
    <sheet name="Control Card #1" sheetId="2" r:id="rId2"/>
    <sheet name="Control Card #2" sheetId="3" r:id="rId3"/>
    <sheet name="Control Card #3" sheetId="4" r:id="rId4"/>
    <sheet name="Control Card #4" sheetId="5" r:id="rId5"/>
  </sheets>
  <definedNames>
    <definedName name="Address_1" localSheetId="2">#REF!</definedName>
    <definedName name="Address_1" localSheetId="3">#REF!</definedName>
    <definedName name="Address_1" localSheetId="4">#REF!</definedName>
    <definedName name="Address_1">#REF!</definedName>
    <definedName name="Address_2" localSheetId="2">#REF!</definedName>
    <definedName name="Address_2" localSheetId="3">#REF!</definedName>
    <definedName name="Address_2" localSheetId="4">#REF!</definedName>
    <definedName name="Address_2">#REF!</definedName>
    <definedName name="brevet">'Control Entry'!$C$6</definedName>
    <definedName name="Brevet_Description">'Control Entry'!$B$8</definedName>
    <definedName name="Brevet_Length">'Control Entry'!$B$6</definedName>
    <definedName name="Brevet_Number">'Control Entry'!$B$9</definedName>
    <definedName name="City" localSheetId="2">#REF!</definedName>
    <definedName name="City" localSheetId="3">#REF!</definedName>
    <definedName name="City" localSheetId="4">#REF!</definedName>
    <definedName name="City">#REF!</definedName>
    <definedName name="Close">'Control Entry'!$M$15:$M$24</definedName>
    <definedName name="Close_time">'Control Entry'!$O$15:$O$24</definedName>
    <definedName name="Control_1">'Control Entry'!$D$15:$O$15</definedName>
    <definedName name="Control_10">'Control Entry'!$D$24:$O$24</definedName>
    <definedName name="Control_11" localSheetId="2">'Control Entry'!#REF!</definedName>
    <definedName name="Control_11" localSheetId="3">'Control Entry'!#REF!</definedName>
    <definedName name="Control_11" localSheetId="4">'Control Entry'!#REF!</definedName>
    <definedName name="Control_11">'Control Entry'!#REF!</definedName>
    <definedName name="Control_12" localSheetId="2">'Control Entry'!#REF!</definedName>
    <definedName name="Control_12" localSheetId="3">'Control Entry'!#REF!</definedName>
    <definedName name="Control_12" localSheetId="4">'Control Entry'!#REF!</definedName>
    <definedName name="Control_12">'Control Entry'!#REF!</definedName>
    <definedName name="Control_13" localSheetId="2">'Control Entry'!#REF!</definedName>
    <definedName name="Control_13" localSheetId="3">'Control Entry'!#REF!</definedName>
    <definedName name="Control_13" localSheetId="4">'Control Entry'!#REF!</definedName>
    <definedName name="Control_13">'Control Entry'!#REF!</definedName>
    <definedName name="Control_14" localSheetId="2">'Control Entry'!#REF!</definedName>
    <definedName name="Control_14" localSheetId="3">'Control Entry'!#REF!</definedName>
    <definedName name="Control_14" localSheetId="4">'Control Entry'!#REF!</definedName>
    <definedName name="Control_14">'Control Entry'!#REF!</definedName>
    <definedName name="Control_15" localSheetId="2">'Control Entry'!#REF!</definedName>
    <definedName name="Control_15" localSheetId="3">'Control Entry'!#REF!</definedName>
    <definedName name="Control_15" localSheetId="4">'Control Entry'!#REF!</definedName>
    <definedName name="Control_15">'Control Entry'!#REF!</definedName>
    <definedName name="Control_16" localSheetId="2">'Control Entry'!#REF!</definedName>
    <definedName name="Control_16" localSheetId="3">'Control Entry'!#REF!</definedName>
    <definedName name="Control_16" localSheetId="4">'Control Entry'!#REF!</definedName>
    <definedName name="Control_16">'Control Entry'!#REF!</definedName>
    <definedName name="Control_17" localSheetId="2">'Control Entry'!#REF!</definedName>
    <definedName name="Control_17" localSheetId="3">'Control Entry'!#REF!</definedName>
    <definedName name="Control_17" localSheetId="4">'Control Entry'!#REF!</definedName>
    <definedName name="Control_17">'Control Entry'!#REF!</definedName>
    <definedName name="Control_18" localSheetId="2">'Control Entry'!#REF!</definedName>
    <definedName name="Control_18" localSheetId="3">'Control Entry'!#REF!</definedName>
    <definedName name="Control_18" localSheetId="4">'Control Entry'!#REF!</definedName>
    <definedName name="Control_18">'Control Entry'!#REF!</definedName>
    <definedName name="Control_19" localSheetId="2">'Control Entry'!#REF!</definedName>
    <definedName name="Control_19" localSheetId="3">'Control Entry'!#REF!</definedName>
    <definedName name="Control_19" localSheetId="4">'Control Entry'!#REF!</definedName>
    <definedName name="Control_19">'Control Entry'!#REF!</definedName>
    <definedName name="Control_2">'Control Entry'!$D$16:$O$16</definedName>
    <definedName name="Control_20" localSheetId="2">'Control Entry'!#REF!</definedName>
    <definedName name="Control_20" localSheetId="3">'Control Entry'!#REF!</definedName>
    <definedName name="Control_20" localSheetId="4">'Control Entry'!#REF!</definedName>
    <definedName name="Control_20">'Control Entry'!#REF!</definedName>
    <definedName name="Control_3">'Control Entry'!$D$17:$O$17</definedName>
    <definedName name="Control_4">'Control Entry'!$D$18:$O$18</definedName>
    <definedName name="Control_5">'Control Entry'!$D$19:$O$19</definedName>
    <definedName name="Control_6">'Control Entry'!$D$20:$O$20</definedName>
    <definedName name="Control_7">'Control Entry'!$D$21:$O$21</definedName>
    <definedName name="Control_8">'Control Entry'!$D$22:$O$22</definedName>
    <definedName name="Control_9">'Control Entry'!$D$23:$O$23</definedName>
    <definedName name="Country" localSheetId="2">#REF!</definedName>
    <definedName name="Country" localSheetId="3">#REF!</definedName>
    <definedName name="Country" localSheetId="4">#REF!</definedName>
    <definedName name="Country">#REF!</definedName>
    <definedName name="Distance">'Control Entry'!$D$15:$D$24</definedName>
    <definedName name="email" localSheetId="2">#REF!</definedName>
    <definedName name="email" localSheetId="3">#REF!</definedName>
    <definedName name="email" localSheetId="4">#REF!</definedName>
    <definedName name="email">#REF!</definedName>
    <definedName name="Establishment_1">'Control Entry'!$F$15:$F$24</definedName>
    <definedName name="Establishment_2">'Control Entry'!$G$15:$G$24</definedName>
    <definedName name="Establishment_3">'Control Entry'!$H$15:$H$24</definedName>
    <definedName name="Fax" localSheetId="2">#REF!</definedName>
    <definedName name="Fax" localSheetId="3">#REF!</definedName>
    <definedName name="Fax" localSheetId="4">#REF!</definedName>
    <definedName name="Fax">#REF!</definedName>
    <definedName name="First_Name" localSheetId="2">#REF!</definedName>
    <definedName name="First_Name" localSheetId="3">#REF!</definedName>
    <definedName name="First_Name" localSheetId="4">#REF!</definedName>
    <definedName name="First_Name">#REF!</definedName>
    <definedName name="Home_telephone" localSheetId="2">#REF!</definedName>
    <definedName name="Home_telephone" localSheetId="3">#REF!</definedName>
    <definedName name="Home_telephone" localSheetId="4">#REF!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2">#REF!</definedName>
    <definedName name="Initial" localSheetId="3">#REF!</definedName>
    <definedName name="Initial" localSheetId="4">#REF!</definedName>
    <definedName name="Initial">#REF!</definedName>
    <definedName name="Locale">'Control Entry'!$E$15:$E$24</definedName>
    <definedName name="Max_time">'Control Entry'!$B$7</definedName>
    <definedName name="Open">'Control Entry'!$L$15:$L$24</definedName>
    <definedName name="Open_time">'Control Entry'!$N$15:$N$24</definedName>
    <definedName name="Postal_Code" localSheetId="2">#REF!</definedName>
    <definedName name="Postal_Code" localSheetId="3">#REF!</definedName>
    <definedName name="Postal_Code" localSheetId="4">#REF!</definedName>
    <definedName name="Postal_Code">#REF!</definedName>
    <definedName name="_xlnm.Print_Titles" localSheetId="1">'Control Card #1'!$1:$2</definedName>
    <definedName name="_xlnm.Print_Titles" localSheetId="2">'Control Card #2'!$1:$2</definedName>
    <definedName name="_xlnm.Print_Titles" localSheetId="3">'Control Card #3'!$1:$2</definedName>
    <definedName name="_xlnm.Print_Titles" localSheetId="4">'Control Card #4'!$1:$2</definedName>
    <definedName name="Province_State" localSheetId="2">#REF!</definedName>
    <definedName name="Province_State" localSheetId="3">#REF!</definedName>
    <definedName name="Province_State" localSheetId="4">#REF!</definedName>
    <definedName name="Province_State">#REF!</definedName>
    <definedName name="Start_date">'Control Entry'!$B$12</definedName>
    <definedName name="Start_time">'Control Entry'!$B$13</definedName>
    <definedName name="surname" localSheetId="2">#REF!</definedName>
    <definedName name="surname" localSheetId="3">#REF!</definedName>
    <definedName name="surname" localSheetId="4">#REF!</definedName>
    <definedName name="surname">#REF!</definedName>
    <definedName name="Work_telephone" localSheetId="2">#REF!</definedName>
    <definedName name="Work_telephone" localSheetId="3">#REF!</definedName>
    <definedName name="Work_telephone" localSheetId="4">#REF!</definedName>
    <definedName name="Work_telepho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9" i="2" l="1"/>
  <c r="F4" i="3"/>
  <c r="F32" i="5"/>
  <c r="F31" i="5"/>
  <c r="F30" i="5"/>
  <c r="E32" i="5"/>
  <c r="E31" i="5"/>
  <c r="E30" i="5"/>
  <c r="D31" i="5"/>
  <c r="A31" i="5"/>
  <c r="F29" i="5"/>
  <c r="F28" i="5"/>
  <c r="F27" i="5"/>
  <c r="E29" i="5"/>
  <c r="E28" i="5"/>
  <c r="E27" i="5"/>
  <c r="D28" i="5"/>
  <c r="A28" i="5"/>
  <c r="F26" i="5"/>
  <c r="F25" i="5"/>
  <c r="F24" i="5"/>
  <c r="E26" i="5"/>
  <c r="E25" i="5"/>
  <c r="E24" i="5"/>
  <c r="D25" i="5"/>
  <c r="A25" i="5"/>
  <c r="F23" i="5"/>
  <c r="F22" i="5"/>
  <c r="F21" i="5"/>
  <c r="E23" i="5"/>
  <c r="E22" i="5"/>
  <c r="E21" i="5"/>
  <c r="D22" i="5"/>
  <c r="A22" i="5"/>
  <c r="F20" i="5"/>
  <c r="F19" i="5"/>
  <c r="F18" i="5"/>
  <c r="E20" i="5"/>
  <c r="E19" i="5"/>
  <c r="E18" i="5"/>
  <c r="D19" i="5"/>
  <c r="A19" i="5" l="1"/>
  <c r="F17" i="5"/>
  <c r="F16" i="5"/>
  <c r="F15" i="5"/>
  <c r="E17" i="5"/>
  <c r="E16" i="5"/>
  <c r="E15" i="5"/>
  <c r="D16" i="5"/>
  <c r="A16" i="5"/>
  <c r="F14" i="5"/>
  <c r="F13" i="5"/>
  <c r="F12" i="5"/>
  <c r="E14" i="5"/>
  <c r="E13" i="5"/>
  <c r="E12" i="5"/>
  <c r="D13" i="5"/>
  <c r="A13" i="5"/>
  <c r="F11" i="5"/>
  <c r="F10" i="5"/>
  <c r="F9" i="5"/>
  <c r="E11" i="5"/>
  <c r="E10" i="5"/>
  <c r="E9" i="5"/>
  <c r="D10" i="5"/>
  <c r="A10" i="5"/>
  <c r="F8" i="5"/>
  <c r="F7" i="5"/>
  <c r="F6" i="5"/>
  <c r="E8" i="5"/>
  <c r="E7" i="5"/>
  <c r="E6" i="5"/>
  <c r="D7" i="5"/>
  <c r="A7" i="5"/>
  <c r="F26" i="4"/>
  <c r="F25" i="4"/>
  <c r="F24" i="4"/>
  <c r="F19" i="4"/>
  <c r="F5" i="5"/>
  <c r="F4" i="5"/>
  <c r="F3" i="5"/>
  <c r="E5" i="4"/>
  <c r="E5" i="5"/>
  <c r="E4" i="5"/>
  <c r="E3" i="5"/>
  <c r="D4" i="5"/>
  <c r="A4" i="5"/>
  <c r="S3" i="5"/>
  <c r="S3" i="4"/>
  <c r="S3" i="3"/>
  <c r="S3" i="2"/>
  <c r="Q33" i="5"/>
  <c r="Q32" i="5"/>
  <c r="S20" i="5"/>
  <c r="L20" i="5"/>
  <c r="L6" i="5"/>
  <c r="R5" i="5"/>
  <c r="P5" i="5"/>
  <c r="L63" i="1"/>
  <c r="L62" i="1"/>
  <c r="L61" i="1"/>
  <c r="L60" i="1"/>
  <c r="L59" i="1"/>
  <c r="L58" i="1"/>
  <c r="L57" i="1"/>
  <c r="L56" i="1"/>
  <c r="L55" i="1"/>
  <c r="M54" i="1"/>
  <c r="L54" i="1"/>
  <c r="Q33" i="4"/>
  <c r="Q32" i="4"/>
  <c r="Q33" i="3"/>
  <c r="Q32" i="3"/>
  <c r="Q33" i="2"/>
  <c r="Q32" i="2"/>
  <c r="M48" i="1" l="1"/>
  <c r="M49" i="1"/>
  <c r="M50" i="1"/>
  <c r="M35" i="1"/>
  <c r="M36" i="1"/>
  <c r="M37" i="1"/>
  <c r="M23" i="1"/>
  <c r="M24" i="1"/>
  <c r="S20" i="4" l="1"/>
  <c r="L20" i="4"/>
  <c r="S20" i="3"/>
  <c r="L20" i="3"/>
  <c r="S20" i="2"/>
  <c r="L20" i="2"/>
  <c r="F32" i="4" l="1"/>
  <c r="F31" i="4"/>
  <c r="F30" i="4"/>
  <c r="E32" i="4"/>
  <c r="E31" i="4"/>
  <c r="E30" i="4"/>
  <c r="D31" i="4"/>
  <c r="A31" i="4"/>
  <c r="F29" i="4"/>
  <c r="F28" i="4"/>
  <c r="F27" i="4"/>
  <c r="E29" i="4"/>
  <c r="E28" i="4"/>
  <c r="E27" i="4"/>
  <c r="D28" i="4"/>
  <c r="A28" i="4"/>
  <c r="E26" i="4"/>
  <c r="E25" i="4"/>
  <c r="E24" i="4"/>
  <c r="D25" i="4"/>
  <c r="A25" i="4"/>
  <c r="F23" i="4"/>
  <c r="F22" i="4"/>
  <c r="F21" i="4"/>
  <c r="E23" i="4"/>
  <c r="E22" i="4"/>
  <c r="E21" i="4"/>
  <c r="D22" i="4"/>
  <c r="A22" i="4"/>
  <c r="F20" i="4"/>
  <c r="F18" i="4"/>
  <c r="E20" i="4"/>
  <c r="E19" i="4"/>
  <c r="E18" i="4"/>
  <c r="D19" i="4"/>
  <c r="A19" i="4"/>
  <c r="F17" i="4"/>
  <c r="F16" i="4"/>
  <c r="F15" i="4"/>
  <c r="E17" i="4"/>
  <c r="E16" i="4"/>
  <c r="E15" i="4"/>
  <c r="D16" i="4"/>
  <c r="A16" i="4"/>
  <c r="F13" i="4"/>
  <c r="F14" i="4"/>
  <c r="F12" i="4"/>
  <c r="E14" i="4"/>
  <c r="E13" i="4"/>
  <c r="E12" i="4"/>
  <c r="D13" i="4"/>
  <c r="A13" i="4"/>
  <c r="A7" i="2" l="1"/>
  <c r="F11" i="4"/>
  <c r="F10" i="4"/>
  <c r="F9" i="4"/>
  <c r="E11" i="4"/>
  <c r="E10" i="4"/>
  <c r="E9" i="4"/>
  <c r="D10" i="4"/>
  <c r="A10" i="4"/>
  <c r="F8" i="4"/>
  <c r="F7" i="4"/>
  <c r="F6" i="4"/>
  <c r="E8" i="4"/>
  <c r="E7" i="4"/>
  <c r="E6" i="4"/>
  <c r="D7" i="4"/>
  <c r="A7" i="4"/>
  <c r="F5" i="4"/>
  <c r="F4" i="4"/>
  <c r="F3" i="4"/>
  <c r="E4" i="4"/>
  <c r="E3" i="4"/>
  <c r="D4" i="4"/>
  <c r="A4" i="4"/>
  <c r="L50" i="1" l="1"/>
  <c r="L49" i="1"/>
  <c r="L48" i="1"/>
  <c r="L47" i="1"/>
  <c r="L46" i="1"/>
  <c r="L45" i="1"/>
  <c r="L44" i="1"/>
  <c r="L43" i="1"/>
  <c r="L42" i="1"/>
  <c r="L41" i="1"/>
  <c r="L6" i="4"/>
  <c r="R5" i="4"/>
  <c r="P5" i="4"/>
  <c r="E8" i="3" l="1"/>
  <c r="E7" i="3"/>
  <c r="E5" i="3"/>
  <c r="F5" i="2" l="1"/>
  <c r="F32" i="2"/>
  <c r="F31" i="2"/>
  <c r="F30" i="2"/>
  <c r="F29" i="2"/>
  <c r="F28" i="2"/>
  <c r="F27" i="2"/>
  <c r="F26" i="2"/>
  <c r="F25" i="2"/>
  <c r="F24" i="2"/>
  <c r="F23" i="2"/>
  <c r="F22" i="2"/>
  <c r="F21" i="2"/>
  <c r="F20" i="2"/>
  <c r="F18" i="2"/>
  <c r="F17" i="2"/>
  <c r="F16" i="2"/>
  <c r="F15" i="2"/>
  <c r="F14" i="2"/>
  <c r="F13" i="2"/>
  <c r="F12" i="2"/>
  <c r="F11" i="2"/>
  <c r="F10" i="2"/>
  <c r="F9" i="2"/>
  <c r="F8" i="2"/>
  <c r="F7" i="2"/>
  <c r="F6" i="2"/>
  <c r="F4" i="2"/>
  <c r="F3" i="2"/>
  <c r="L15" i="1"/>
  <c r="N15" i="1" s="1"/>
  <c r="L37" i="1"/>
  <c r="L36" i="1"/>
  <c r="L35" i="1"/>
  <c r="L34" i="1"/>
  <c r="L33" i="1"/>
  <c r="L32" i="1"/>
  <c r="L31" i="1"/>
  <c r="L30" i="1"/>
  <c r="L29" i="1"/>
  <c r="L28" i="1"/>
  <c r="F32" i="3"/>
  <c r="F31" i="3"/>
  <c r="F30" i="3"/>
  <c r="F29" i="3"/>
  <c r="F28" i="3"/>
  <c r="F27" i="3"/>
  <c r="F26" i="3"/>
  <c r="F25" i="3"/>
  <c r="F24" i="3"/>
  <c r="F23" i="3"/>
  <c r="F22" i="3"/>
  <c r="F21" i="3"/>
  <c r="F20" i="3"/>
  <c r="F19" i="3"/>
  <c r="F18" i="3"/>
  <c r="F17" i="3"/>
  <c r="F16" i="3"/>
  <c r="F15" i="3"/>
  <c r="F14" i="3"/>
  <c r="F13" i="3"/>
  <c r="F12" i="3"/>
  <c r="F11" i="3"/>
  <c r="F10" i="3"/>
  <c r="F9" i="3"/>
  <c r="F7" i="3"/>
  <c r="F8" i="3"/>
  <c r="F5" i="3"/>
  <c r="F6" i="3"/>
  <c r="F3" i="3"/>
  <c r="E32" i="3"/>
  <c r="E31" i="3"/>
  <c r="E30" i="3"/>
  <c r="E29" i="3"/>
  <c r="E28" i="3"/>
  <c r="E27" i="3"/>
  <c r="E26" i="3"/>
  <c r="E25" i="3"/>
  <c r="E24" i="3"/>
  <c r="E23" i="3"/>
  <c r="E22" i="3"/>
  <c r="E21" i="3"/>
  <c r="E20" i="3"/>
  <c r="E19" i="3"/>
  <c r="E18" i="3"/>
  <c r="E17" i="3"/>
  <c r="E16" i="3"/>
  <c r="E15" i="3"/>
  <c r="E14" i="3"/>
  <c r="E13" i="3"/>
  <c r="E12" i="3"/>
  <c r="E11" i="3"/>
  <c r="E10" i="3"/>
  <c r="E9" i="3"/>
  <c r="E6" i="3"/>
  <c r="C6" i="1"/>
  <c r="E4" i="3"/>
  <c r="E3" i="3"/>
  <c r="D31" i="3"/>
  <c r="D28" i="3"/>
  <c r="D25" i="3"/>
  <c r="D22" i="3"/>
  <c r="D19" i="3"/>
  <c r="D16" i="3"/>
  <c r="D13" i="3"/>
  <c r="D10" i="3"/>
  <c r="D7" i="3"/>
  <c r="D4" i="3"/>
  <c r="A31" i="3"/>
  <c r="A28" i="3"/>
  <c r="A25" i="3"/>
  <c r="A22" i="3"/>
  <c r="A19" i="3"/>
  <c r="A16" i="3"/>
  <c r="A13" i="3"/>
  <c r="A10" i="3"/>
  <c r="A7" i="3"/>
  <c r="A4" i="3"/>
  <c r="L24" i="1"/>
  <c r="L23" i="1"/>
  <c r="L22" i="1"/>
  <c r="L21" i="1"/>
  <c r="L20" i="1"/>
  <c r="L19" i="1"/>
  <c r="L18" i="1"/>
  <c r="L17" i="1"/>
  <c r="L16" i="1"/>
  <c r="L6" i="3"/>
  <c r="R5" i="3"/>
  <c r="P5" i="3"/>
  <c r="L6" i="2"/>
  <c r="R5" i="2"/>
  <c r="P5"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D25" i="2"/>
  <c r="D28" i="2"/>
  <c r="D31" i="2"/>
  <c r="A31" i="2"/>
  <c r="A4" i="2"/>
  <c r="D19" i="2"/>
  <c r="D16" i="2"/>
  <c r="D13" i="2"/>
  <c r="D10" i="2"/>
  <c r="D7" i="2"/>
  <c r="D4" i="2"/>
  <c r="D22" i="2"/>
  <c r="A28" i="2"/>
  <c r="A25" i="2"/>
  <c r="A22" i="2"/>
  <c r="A19" i="2"/>
  <c r="A10" i="2"/>
  <c r="A16" i="2"/>
  <c r="A13" i="2"/>
  <c r="O50" i="1" l="1"/>
  <c r="N50" i="1"/>
  <c r="N61" i="1"/>
  <c r="N60" i="1"/>
  <c r="N59" i="1"/>
  <c r="N63" i="1"/>
  <c r="N58" i="1"/>
  <c r="N62" i="1"/>
  <c r="M63" i="1"/>
  <c r="O63" i="1" s="1"/>
  <c r="M61" i="1"/>
  <c r="O61" i="1" s="1"/>
  <c r="M59" i="1"/>
  <c r="O59" i="1" s="1"/>
  <c r="M62" i="1"/>
  <c r="O62" i="1" s="1"/>
  <c r="M60" i="1"/>
  <c r="O60" i="1" s="1"/>
  <c r="M58" i="1"/>
  <c r="O58" i="1" s="1"/>
  <c r="B7" i="1"/>
  <c r="M46" i="1" s="1"/>
  <c r="O46" i="1" s="1"/>
  <c r="M4" i="5"/>
  <c r="M57" i="1"/>
  <c r="O57" i="1" s="1"/>
  <c r="M55" i="1"/>
  <c r="O55" i="1" s="1"/>
  <c r="M56" i="1"/>
  <c r="O56" i="1"/>
  <c r="N56" i="1"/>
  <c r="N57" i="1"/>
  <c r="N55" i="1"/>
  <c r="O54" i="1"/>
  <c r="N54" i="1"/>
  <c r="M4" i="3"/>
  <c r="M42" i="1"/>
  <c r="O42" i="1" s="1"/>
  <c r="M16" i="1"/>
  <c r="M18" i="1"/>
  <c r="O18" i="1" s="1"/>
  <c r="M17" i="1"/>
  <c r="O17" i="1" s="1"/>
  <c r="O48" i="1"/>
  <c r="O49" i="1"/>
  <c r="N48" i="1"/>
  <c r="N42" i="1"/>
  <c r="N47" i="1"/>
  <c r="N43" i="1"/>
  <c r="N45" i="1"/>
  <c r="N49" i="1"/>
  <c r="N46" i="1"/>
  <c r="N44" i="1"/>
  <c r="N41" i="1"/>
  <c r="M4" i="4"/>
  <c r="M15" i="1"/>
  <c r="O15" i="1" s="1"/>
  <c r="C3" i="2" s="1"/>
  <c r="N31" i="1"/>
  <c r="B4" i="2"/>
  <c r="N18" i="1"/>
  <c r="B14" i="2" s="1"/>
  <c r="O23" i="1"/>
  <c r="C27" i="2" s="1"/>
  <c r="N28" i="1"/>
  <c r="N34" i="1"/>
  <c r="N22" i="1"/>
  <c r="B25" i="2" s="1"/>
  <c r="B3" i="2"/>
  <c r="B5" i="2"/>
  <c r="N17" i="1"/>
  <c r="B11" i="2" s="1"/>
  <c r="N21" i="1"/>
  <c r="B22" i="2" s="1"/>
  <c r="N24" i="1"/>
  <c r="B31" i="2" s="1"/>
  <c r="N35" i="1"/>
  <c r="O37" i="1"/>
  <c r="N37" i="1"/>
  <c r="O24" i="1"/>
  <c r="C31" i="2" s="1"/>
  <c r="N16" i="1"/>
  <c r="B6" i="2" s="1"/>
  <c r="N20" i="1"/>
  <c r="B19" i="2" s="1"/>
  <c r="N29" i="1"/>
  <c r="N32" i="1"/>
  <c r="O16" i="1"/>
  <c r="N19" i="1"/>
  <c r="B17" i="2" s="1"/>
  <c r="N23" i="1"/>
  <c r="B27" i="2" s="1"/>
  <c r="N30" i="1"/>
  <c r="N33" i="1"/>
  <c r="N36" i="1"/>
  <c r="M4" i="2"/>
  <c r="O36" i="1"/>
  <c r="O35" i="1"/>
  <c r="M19" i="1" l="1"/>
  <c r="O19" i="1" s="1"/>
  <c r="C17" i="2" s="1"/>
  <c r="M20" i="1"/>
  <c r="O20" i="1" s="1"/>
  <c r="C18" i="2" s="1"/>
  <c r="M32" i="1"/>
  <c r="O32" i="1" s="1"/>
  <c r="C15" i="3" s="1"/>
  <c r="M21" i="1"/>
  <c r="O21" i="1" s="1"/>
  <c r="C23" i="2" s="1"/>
  <c r="M29" i="1"/>
  <c r="O29" i="1" s="1"/>
  <c r="C7" i="3" s="1"/>
  <c r="M43" i="1"/>
  <c r="O43" i="1" s="1"/>
  <c r="C11" i="4" s="1"/>
  <c r="M28" i="1"/>
  <c r="O28" i="1" s="1"/>
  <c r="C3" i="3" s="1"/>
  <c r="M34" i="1"/>
  <c r="O34" i="1" s="1"/>
  <c r="C23" i="3" s="1"/>
  <c r="M41" i="1"/>
  <c r="O41" i="1" s="1"/>
  <c r="C3" i="4" s="1"/>
  <c r="M30" i="1"/>
  <c r="O30" i="1" s="1"/>
  <c r="C11" i="3" s="1"/>
  <c r="M44" i="1"/>
  <c r="O44" i="1" s="1"/>
  <c r="C13" i="4" s="1"/>
  <c r="M33" i="1"/>
  <c r="O33" i="1" s="1"/>
  <c r="C19" i="3" s="1"/>
  <c r="M22" i="1"/>
  <c r="O22" i="1" s="1"/>
  <c r="C26" i="2" s="1"/>
  <c r="M45" i="1"/>
  <c r="O45" i="1" s="1"/>
  <c r="C15" i="4" s="1"/>
  <c r="M31" i="1"/>
  <c r="O31" i="1" s="1"/>
  <c r="C14" i="3" s="1"/>
  <c r="M47" i="1"/>
  <c r="O47" i="1" s="1"/>
  <c r="C22" i="4" s="1"/>
  <c r="C27" i="5"/>
  <c r="C29" i="5"/>
  <c r="C28" i="5"/>
  <c r="B29" i="5"/>
  <c r="B28" i="5"/>
  <c r="B27" i="5"/>
  <c r="B22" i="5"/>
  <c r="B21" i="5"/>
  <c r="B23" i="5"/>
  <c r="C20" i="5"/>
  <c r="C19" i="5"/>
  <c r="C18" i="5"/>
  <c r="B25" i="5"/>
  <c r="B24" i="5"/>
  <c r="B26" i="5"/>
  <c r="C26" i="5"/>
  <c r="C25" i="5"/>
  <c r="C24" i="5"/>
  <c r="C21" i="5"/>
  <c r="C23" i="5"/>
  <c r="C22" i="5"/>
  <c r="C31" i="5"/>
  <c r="C30" i="5"/>
  <c r="C32" i="5"/>
  <c r="B19" i="5"/>
  <c r="B18" i="5"/>
  <c r="B20" i="5"/>
  <c r="B32" i="5"/>
  <c r="B31" i="5"/>
  <c r="B30" i="5"/>
  <c r="B8" i="5"/>
  <c r="B7" i="5"/>
  <c r="B6" i="5"/>
  <c r="B14" i="5"/>
  <c r="B13" i="5"/>
  <c r="B12" i="5"/>
  <c r="C7" i="5"/>
  <c r="C8" i="5"/>
  <c r="C6" i="5"/>
  <c r="B15" i="5"/>
  <c r="B17" i="5"/>
  <c r="B16" i="5"/>
  <c r="B9" i="5"/>
  <c r="B10" i="5"/>
  <c r="B11" i="5"/>
  <c r="C13" i="5"/>
  <c r="C12" i="5"/>
  <c r="C14" i="5"/>
  <c r="C16" i="5"/>
  <c r="C15" i="5"/>
  <c r="C17" i="5"/>
  <c r="C10" i="5"/>
  <c r="C9" i="5"/>
  <c r="C11" i="5"/>
  <c r="B4" i="5"/>
  <c r="B3" i="5"/>
  <c r="B5" i="5"/>
  <c r="B31" i="4"/>
  <c r="B30" i="4"/>
  <c r="B32" i="4"/>
  <c r="C5" i="5"/>
  <c r="C3" i="5"/>
  <c r="C4" i="5"/>
  <c r="C31" i="4"/>
  <c r="C30" i="4"/>
  <c r="C32" i="4"/>
  <c r="B13" i="4"/>
  <c r="B12" i="4"/>
  <c r="B14" i="4"/>
  <c r="B29" i="4"/>
  <c r="B28" i="4"/>
  <c r="B27" i="4"/>
  <c r="B23" i="4"/>
  <c r="B22" i="4"/>
  <c r="B21" i="4"/>
  <c r="B17" i="4"/>
  <c r="B16" i="4"/>
  <c r="B15" i="4"/>
  <c r="B25" i="4"/>
  <c r="B24" i="4"/>
  <c r="B26" i="4"/>
  <c r="C29" i="4"/>
  <c r="C28" i="4"/>
  <c r="C27" i="4"/>
  <c r="C4" i="2"/>
  <c r="B19" i="4"/>
  <c r="B18" i="4"/>
  <c r="B20" i="4"/>
  <c r="C20" i="4"/>
  <c r="C19" i="4"/>
  <c r="C18" i="4"/>
  <c r="C26" i="4"/>
  <c r="C25" i="4"/>
  <c r="C24" i="4"/>
  <c r="C8" i="4"/>
  <c r="C7" i="4"/>
  <c r="C6" i="4"/>
  <c r="B8" i="4"/>
  <c r="B7" i="4"/>
  <c r="B6" i="4"/>
  <c r="B9" i="4"/>
  <c r="B11" i="4"/>
  <c r="B10" i="4"/>
  <c r="B5" i="4"/>
  <c r="B4" i="4"/>
  <c r="B3" i="4"/>
  <c r="B21" i="3"/>
  <c r="B29" i="3"/>
  <c r="B6" i="3"/>
  <c r="B26" i="3"/>
  <c r="B5" i="3"/>
  <c r="B11" i="3"/>
  <c r="B32" i="3"/>
  <c r="B16" i="3"/>
  <c r="C31" i="3"/>
  <c r="C5" i="2"/>
  <c r="B19" i="3"/>
  <c r="B14" i="3"/>
  <c r="B25" i="3"/>
  <c r="B13" i="3"/>
  <c r="B12" i="3"/>
  <c r="B21" i="2"/>
  <c r="B26" i="2"/>
  <c r="C30" i="3"/>
  <c r="B3" i="3"/>
  <c r="B8" i="2"/>
  <c r="B12" i="2"/>
  <c r="B13" i="2"/>
  <c r="B22" i="3"/>
  <c r="B30" i="3"/>
  <c r="B27" i="3"/>
  <c r="B8" i="3"/>
  <c r="C29" i="2"/>
  <c r="B18" i="3"/>
  <c r="B29" i="2"/>
  <c r="B15" i="2"/>
  <c r="B31" i="3"/>
  <c r="B18" i="2"/>
  <c r="B10" i="3"/>
  <c r="B32" i="2"/>
  <c r="C28" i="2"/>
  <c r="C30" i="2"/>
  <c r="B20" i="2"/>
  <c r="B24" i="3"/>
  <c r="B28" i="3"/>
  <c r="B7" i="3"/>
  <c r="B4" i="3"/>
  <c r="B16" i="2"/>
  <c r="B7" i="2"/>
  <c r="C19" i="2"/>
  <c r="C13" i="2"/>
  <c r="C12" i="2"/>
  <c r="C14" i="2"/>
  <c r="B23" i="3"/>
  <c r="B9" i="2"/>
  <c r="B30" i="2"/>
  <c r="C32" i="2"/>
  <c r="B10" i="2"/>
  <c r="B9" i="3"/>
  <c r="B24" i="2"/>
  <c r="B20" i="3"/>
  <c r="C9" i="2"/>
  <c r="C10" i="2"/>
  <c r="B28" i="2"/>
  <c r="B23" i="2"/>
  <c r="B17" i="3"/>
  <c r="C8" i="2"/>
  <c r="C7" i="2"/>
  <c r="C11" i="2"/>
  <c r="B15" i="3"/>
  <c r="C32" i="3"/>
  <c r="C6" i="2"/>
  <c r="C25" i="3"/>
  <c r="C26" i="3"/>
  <c r="C24" i="3"/>
  <c r="C27" i="3"/>
  <c r="C28" i="3"/>
  <c r="C29" i="3"/>
  <c r="C17" i="3" l="1"/>
  <c r="C20" i="2"/>
  <c r="C16" i="3"/>
  <c r="C24" i="2"/>
  <c r="C16" i="2"/>
  <c r="C21" i="2"/>
  <c r="C15" i="2"/>
  <c r="C22" i="2"/>
  <c r="C6" i="3"/>
  <c r="C25" i="2"/>
  <c r="C4" i="4"/>
  <c r="C5" i="4"/>
  <c r="C20" i="3"/>
  <c r="C21" i="4"/>
  <c r="C10" i="3"/>
  <c r="C18" i="3"/>
  <c r="C8" i="3"/>
  <c r="C16" i="4"/>
  <c r="C9" i="4"/>
  <c r="C10" i="4"/>
  <c r="C17" i="4"/>
  <c r="C5" i="3"/>
  <c r="C13" i="3"/>
  <c r="C12" i="4"/>
  <c r="C14" i="4"/>
  <c r="C21" i="3"/>
  <c r="C22" i="3"/>
  <c r="C23" i="4"/>
  <c r="C12" i="3"/>
  <c r="C9" i="3"/>
  <c r="C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4" authorId="0" shapeId="0" xr:uid="{4563209B-AACD-704D-A715-734D9228E28F}">
      <text>
        <r>
          <rPr>
            <b/>
            <sz val="10"/>
            <color rgb="FF000000"/>
            <rFont val="Tahoma"/>
            <family val="2"/>
          </rPr>
          <t>Stephen Hinde:</t>
        </r>
        <r>
          <rPr>
            <sz val="10"/>
            <color rgb="FF000000"/>
            <rFont val="Tahoma"/>
            <family val="2"/>
          </rPr>
          <t xml:space="preserve">Revision date of the brevet details on this sheet
</t>
        </r>
      </text>
    </comment>
    <comment ref="B6"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
</t>
        </r>
        <r>
          <rPr>
            <sz val="10"/>
            <color rgb="FF000000"/>
            <rFont val="Tahoma"/>
            <family val="2"/>
          </rPr>
          <t>eg 200, 300, 400, 600</t>
        </r>
      </text>
    </comment>
    <comment ref="B7" authorId="1" shapeId="0" xr:uid="{00000000-0006-0000-0000-000002000000}">
      <text>
        <r>
          <rPr>
            <sz val="8"/>
            <color rgb="FF000000"/>
            <rFont val="Tahoma"/>
            <family val="2"/>
          </rPr>
          <t>Autocalculated based on ACP specified times</t>
        </r>
      </text>
    </comment>
    <comment ref="B9"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10"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B12" authorId="0" shapeId="0" xr:uid="{6F09A1DF-13DF-0541-9E9F-4A78251D3B7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B13" authorId="0" shapeId="0" xr:uid="{B42762EC-1925-AE46-9F2A-7C3A271E16AF}">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List>
</comments>
</file>

<file path=xl/sharedStrings.xml><?xml version="1.0" encoding="utf-8"?>
<sst xmlns="http://schemas.openxmlformats.org/spreadsheetml/2006/main" count="468" uniqueCount="162">
  <si>
    <t>Start time</t>
  </si>
  <si>
    <t>Finish time</t>
  </si>
  <si>
    <t>Elapsed time</t>
  </si>
  <si>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</si>
  <si>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</si>
  <si>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</si>
  <si>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</si>
  <si>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</si>
  <si>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</si>
  <si>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</si>
  <si>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</si>
  <si>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</si>
  <si>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</si>
  <si>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</si>
  <si>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</si>
  <si>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</si>
  <si>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</si>
  <si>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</si>
  <si>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</si>
  <si>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</si>
  <si>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</si>
  <si>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</si>
  <si>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</si>
  <si>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</si>
  <si>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</si>
  <si>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</si>
  <si>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</si>
  <si>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</si>
  <si>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</si>
  <si>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t>
  </si>
  <si>
    <t>DIST (km)</t>
  </si>
  <si>
    <t>Establishment</t>
  </si>
  <si>
    <t>Time of Passage</t>
  </si>
  <si>
    <t>Control Card</t>
  </si>
  <si>
    <t>Name</t>
  </si>
  <si>
    <t>Address</t>
  </si>
  <si>
    <t>City</t>
  </si>
  <si>
    <t>Province/State</t>
  </si>
  <si>
    <t>Country</t>
  </si>
  <si>
    <t>Postal Code</t>
  </si>
  <si>
    <t>Telephone</t>
  </si>
  <si>
    <t>email</t>
  </si>
  <si>
    <t>Randonneur Committee Authorization</t>
  </si>
  <si>
    <t>Report results or abandonment through registration email link</t>
  </si>
  <si>
    <t>Start Date</t>
  </si>
  <si>
    <t>Finish Date</t>
  </si>
  <si>
    <t>Member #</t>
  </si>
  <si>
    <t xml:space="preserve">Brevet No. </t>
  </si>
  <si>
    <t>Schedule date:</t>
  </si>
  <si>
    <t>Single</t>
  </si>
  <si>
    <t>Tandem</t>
  </si>
  <si>
    <t>Fixed</t>
  </si>
  <si>
    <t>Recumbent</t>
  </si>
  <si>
    <t>Velomobile</t>
  </si>
  <si>
    <t>(only add if change needed to database)</t>
  </si>
  <si>
    <t>Founding member of LES RANDONNEURS MONDIAUX (1983)</t>
  </si>
  <si>
    <t>Bicycle Type
Circle one</t>
  </si>
  <si>
    <t>-------&gt;</t>
  </si>
  <si>
    <t>Ride Day Emergency Contact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</si>
  <si>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</si>
  <si>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</si>
  <si>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</si>
  <si>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</si>
  <si>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</si>
  <si>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</si>
  <si>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</si>
  <si>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</si>
  <si>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</si>
  <si>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</si>
  <si>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Fill in the control distance.  The opening and closing times will be automatically calculated based on the start time and the brevet distance.  If you need more than 10 controls, use card #2, otherwise leave that section blank.</t>
  </si>
  <si>
    <t>When using information controls, you can put your question in the Signature/Answer section eg Sig/Ans.1 Sign on main door  Sig/Ans. 2  This week's special is?  Sig/Ans. 3 ________________</t>
  </si>
  <si>
    <t>Control Card #1 Information Control Question (optional)</t>
  </si>
  <si>
    <t>Control Card #2 Information Control Question (optional)</t>
  </si>
  <si>
    <t xml:space="preserve">Control Card </t>
  </si>
  <si>
    <r>
      <t xml:space="preserve">At each control, please have signed or </t>
    </r>
    <r>
      <rPr>
        <b/>
        <i/>
        <sz val="16"/>
        <rFont val="Arial"/>
        <family val="2"/>
      </rPr>
      <t>answer question</t>
    </r>
    <r>
      <rPr>
        <i/>
        <sz val="16"/>
        <rFont val="Arial"/>
        <family val="2"/>
      </rPr>
      <t xml:space="preserve"> and</t>
    </r>
    <r>
      <rPr>
        <b/>
        <i/>
        <sz val="16"/>
        <rFont val="Arial"/>
        <family val="2"/>
      </rPr>
      <t xml:space="preserve"> note time of day</t>
    </r>
  </si>
  <si>
    <t>Enter the start time.  This will be the official ACP listed start time found on the event page, unless a ride window has been enabled.</t>
  </si>
  <si>
    <t>Enter the start date.  This will be the same as the schedule date, exceot for pre-rides or unless a ride window has been enabled.</t>
  </si>
  <si>
    <t>Control Card #2</t>
  </si>
  <si>
    <t>Control Card #3 Information Control Question (optional)</t>
  </si>
  <si>
    <t>Control Card #3</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</si>
  <si>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</si>
  <si>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</si>
  <si>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</si>
  <si>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DO NOT DELETE OR MOVE ROWS OR COLUMNS (delete contents of cells only)</t>
  </si>
  <si>
    <t>Fill in the Locale (city) for each control.  Establishment 1, 2, and 3 can be used to describe the control itself eg Locale HOPE  Est.1 Dairy Queen Est.2 817 Water Ave Est. 3 (left blank)</t>
  </si>
  <si>
    <t>Scroll right to see further instructions</t>
  </si>
  <si>
    <t xml:space="preserve">Card Revised:  </t>
  </si>
  <si>
    <t>Control Card #4</t>
  </si>
  <si>
    <t>Control Card #4 Information Control Question (optional)</t>
  </si>
  <si>
    <t>You can create 4 control cards  (upto 40 controls) for one event, or 4 control cards (up to 10 controls) with different start loctions for a single event, or 2 sets of 2 control cards.  Control Card #1 will only show '#1' if a distance, not zero, is entered into the first distance box for Control Card #2.  Similarly for Control Card #3 and Control Card #4.  If CC#3 starts at distance 0 and CC#4 has a distance greater than 0, then CC#3 will display as CC#1 and CC#4 will display as CC#2.  This allows for 2 cards for start location 1 and two cards for start location 2.</t>
  </si>
  <si>
    <t>SIGN HERE AND RECORD RESULTS ON CARD #1</t>
  </si>
  <si>
    <t>INFORMATION</t>
  </si>
  <si>
    <t>STAFFED</t>
  </si>
  <si>
    <t>SELF CHECK</t>
  </si>
  <si>
    <t>Historical marker</t>
  </si>
  <si>
    <t xml:space="preserve">SAANICH </t>
  </si>
  <si>
    <t>VICTORIA</t>
  </si>
  <si>
    <t>ESQUIMALT</t>
  </si>
  <si>
    <t>LANGFORD</t>
  </si>
  <si>
    <t>METCHOSIN</t>
  </si>
  <si>
    <t>NORTH SAANICH</t>
  </si>
  <si>
    <t>SECRET</t>
  </si>
  <si>
    <t>SIDNEY</t>
  </si>
  <si>
    <t>BC Indians War Memorial</t>
  </si>
  <si>
    <t>Beacon Hill Park</t>
  </si>
  <si>
    <t>Falaise Park</t>
  </si>
  <si>
    <t>DND Stone House</t>
  </si>
  <si>
    <t>300 Victoria View Rd</t>
  </si>
  <si>
    <t>God's Acre Cemetary</t>
  </si>
  <si>
    <t>Veteran's Dr</t>
  </si>
  <si>
    <t>Veterans Memorial Park</t>
  </si>
  <si>
    <t>Aldwyn Rd</t>
  </si>
  <si>
    <t>Cadet Training Centre</t>
  </si>
  <si>
    <t>100 Albert Head Rd</t>
  </si>
  <si>
    <t>COLWOOD</t>
  </si>
  <si>
    <t>Royal Roads University</t>
  </si>
  <si>
    <t>Military College Parade Square</t>
  </si>
  <si>
    <t>BRENTWOOD BAY</t>
  </si>
  <si>
    <t>Central Saanich Cenotaph</t>
  </si>
  <si>
    <t>Pioneer Park</t>
  </si>
  <si>
    <t>Lt. H Gray VC Memorial</t>
  </si>
  <si>
    <t>BC Aviation Museum</t>
  </si>
  <si>
    <t>Royal Oak Cenotaph</t>
  </si>
  <si>
    <t>Royal Oak Burial Park</t>
  </si>
  <si>
    <t>CAF 'Star of Military' plaque</t>
  </si>
  <si>
    <t>Beacon Park</t>
  </si>
  <si>
    <t>Memorial Trees plaque</t>
  </si>
  <si>
    <t>Shelbourne Ave centre median</t>
  </si>
  <si>
    <t>Chinese War Memorial</t>
  </si>
  <si>
    <t>Gate of Harmonious Interest</t>
  </si>
  <si>
    <t>Spirit of the Republic</t>
  </si>
  <si>
    <t>Confederation Garden Court</t>
  </si>
  <si>
    <t>Year that the plaque was erected</t>
  </si>
  <si>
    <t>Take selfie at  totem pole or send GPS track ie: Strava</t>
  </si>
  <si>
    <t>What is in statue's left hand?</t>
  </si>
  <si>
    <t>Maple Leaf on Ground to the left of Memorial: .</t>
  </si>
  <si>
    <t>How many men and women?__</t>
  </si>
  <si>
    <t xml:space="preserve">Plaque on left hand side of granite stone (second paragraph:) </t>
  </si>
  <si>
    <t>Date on plaque:</t>
  </si>
  <si>
    <t>June ___,2007</t>
  </si>
  <si>
    <t xml:space="preserve">Bottom name on right: </t>
  </si>
  <si>
    <t>Yuen,______</t>
  </si>
  <si>
    <t>19___</t>
  </si>
  <si>
    <t>__________</t>
  </si>
  <si>
    <t xml:space="preserve">Sign on right: Lot 12 is </t>
  </si>
  <si>
    <t>The ______Residence</t>
  </si>
  <si>
    <t xml:space="preserve">Sign above Chapel </t>
  </si>
  <si>
    <t>Consecrated  July 18__</t>
  </si>
  <si>
    <t xml:space="preserve">Plaque at foot of Statue </t>
  </si>
  <si>
    <t>Erected October __, 2001</t>
  </si>
  <si>
    <t xml:space="preserve">On Sign on Fence </t>
  </si>
  <si>
    <t>By order of ___</t>
  </si>
  <si>
    <t xml:space="preserve">On plaque "military college period </t>
  </si>
  <si>
    <t>19__-1995</t>
  </si>
  <si>
    <t xml:space="preserve">Plaque on left of Cenotaph </t>
  </si>
  <si>
    <t>Year of the Veteran 20__</t>
  </si>
  <si>
    <t>On Stone house at #300</t>
  </si>
  <si>
    <t>Number of window panes to the left of the door</t>
  </si>
  <si>
    <t>___</t>
  </si>
  <si>
    <t>How many Canadians served on aircraft carriers of the RN Fleet Air Arm"</t>
  </si>
  <si>
    <t>_____</t>
  </si>
  <si>
    <t>Permanent #232: VI Remembrance Day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</si>
</sst>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
  </numFmts>
  <fonts count="33"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i/>
      <sz val="14"/>
      <name val="Arial"/>
      <family val="2"/>
    </font>
    <font>
      <sz val="18"/>
      <name val="Arial"/>
      <family val="2"/>
    </font>
    <font>
      <sz val="14"/>
      <name val="Arial Narrow"/>
      <family val="2"/>
    </font>
    <font>
      <b/>
      <sz val="14"/>
      <name val="Arial Narrow"/>
      <family val="2"/>
    </font>
    <font>
      <b/>
      <sz val="16"/>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0"/>
      <color rgb="FFFF0000"/>
      <name val="Arial"/>
      <family val="2"/>
    </font>
    <font>
      <sz val="20"/>
      <color theme="0" tint="-0.249977111117893"/>
      <name val="Impact"/>
      <family val="2"/>
    </font>
    <font>
      <sz val="16"/>
      <color rgb="FFFF0000"/>
      <name val="Arial"/>
      <family val="2"/>
    </font>
    <font>
      <sz val="9"/>
      <name val="Arial"/>
      <family val="2"/>
    </font>
    <font>
      <sz val="11"/>
      <name val="Arial Narrow"/>
      <family val="2"/>
    </font>
  </fonts>
  <fills count="3">
    <fill>
      <patternFill patternType="none"/>
    </fill>
    <fill>
      <patternFill patternType="gray125"/>
    </fill>
    <fill>
      <patternFill patternType="solid">
        <fgColor indexed="22"/>
        <bgColor indexed="64"/>
      </patternFill>
    </fill>
  </fills>
  <borders count="29">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medium">
        <color indexed="64"/>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s>
  <cellStyleXfs count="356">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4" fillId="0" borderId="0"/>
    <xf numFmtId="0" fontId="4" fillId="0" borderId="0"/>
    <xf numFmtId="0" fontId="5" fillId="0" borderId="0"/>
    <xf numFmtId="0" fontId="3" fillId="0" borderId="0"/>
    <xf numFmtId="0" fontId="2" fillId="0" borderId="0"/>
    <xf numFmtId="0" fontId="1"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42">
    <xf numFmtId="0" fontId="0" fillId="0" borderId="0" xfId="0"/>
    <xf numFmtId="0" fontId="0" fillId="0" borderId="16" xfId="0" applyBorder="1"/>
    <xf numFmtId="0" fontId="0" fillId="0" borderId="0" xfId="0" applyAlignment="1">
      <alignment horizontal="right"/>
    </xf>
    <xf numFmtId="0" fontId="0" fillId="0" borderId="0" xfId="0" applyProtection="1">
      <protection hidden="1"/>
    </xf>
    <xf numFmtId="164" fontId="0" fillId="0" borderId="0" xfId="0" applyNumberFormat="1"/>
    <xf numFmtId="164" fontId="0" fillId="0" borderId="0" xfId="0" applyNumberFormat="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2" borderId="4" xfId="0" applyFill="1" applyBorder="1"/>
    <xf numFmtId="0" fontId="0" fillId="0" borderId="0" xfId="0" applyAlignment="1">
      <alignment vertical="top" textRotation="90"/>
    </xf>
    <xf numFmtId="0" fontId="10" fillId="0" borderId="0" xfId="0" applyFont="1"/>
    <xf numFmtId="0" fontId="0" fillId="0" borderId="19" xfId="0" applyBorder="1"/>
    <xf numFmtId="0" fontId="0" fillId="0" borderId="6" xfId="0" applyBorder="1"/>
    <xf numFmtId="0" fontId="0" fillId="0" borderId="20" xfId="0" applyBorder="1"/>
    <xf numFmtId="0" fontId="0" fillId="0" borderId="21" xfId="0" applyBorder="1"/>
    <xf numFmtId="0" fontId="0" fillId="0" borderId="17" xfId="0" applyBorder="1"/>
    <xf numFmtId="0" fontId="0" fillId="0" borderId="0" xfId="0" applyAlignment="1" applyProtection="1">
      <alignment horizontal="centerContinuous"/>
      <protection hidden="1"/>
    </xf>
    <xf numFmtId="0" fontId="0" fillId="0" borderId="0" xfId="0" applyAlignment="1">
      <alignment horizontal="centerContinuous"/>
    </xf>
    <xf numFmtId="167" fontId="0" fillId="0" borderId="13" xfId="0" applyNumberFormat="1" applyBorder="1" applyProtection="1">
      <protection locked="0"/>
    </xf>
    <xf numFmtId="0" fontId="0" fillId="0" borderId="0" xfId="0" applyAlignment="1">
      <alignment horizontal="center"/>
    </xf>
    <xf numFmtId="167" fontId="13" fillId="0" borderId="16" xfId="0" applyNumberFormat="1" applyFont="1" applyBorder="1" applyAlignment="1">
      <alignment horizontal="center" wrapText="1"/>
    </xf>
    <xf numFmtId="166" fontId="13" fillId="0" borderId="16" xfId="0" applyNumberFormat="1" applyFont="1" applyBorder="1" applyAlignment="1">
      <alignment horizontal="center" vertical="center" wrapText="1"/>
    </xf>
    <xf numFmtId="0" fontId="13" fillId="0" borderId="17" xfId="0" applyFont="1" applyBorder="1" applyAlignment="1">
      <alignment horizontal="center" vertical="center"/>
    </xf>
    <xf numFmtId="0" fontId="14" fillId="0" borderId="16" xfId="0" applyFont="1" applyBorder="1" applyAlignment="1">
      <alignment horizontal="center" vertical="center" wrapText="1"/>
    </xf>
    <xf numFmtId="167" fontId="13" fillId="0" borderId="7" xfId="0" applyNumberFormat="1" applyFont="1" applyBorder="1"/>
    <xf numFmtId="165" fontId="13" fillId="0" borderId="7" xfId="0" applyNumberFormat="1" applyFont="1" applyBorder="1" applyAlignment="1">
      <alignment horizontal="center" vertical="center" wrapText="1"/>
    </xf>
    <xf numFmtId="0" fontId="13" fillId="0" borderId="18" xfId="0" applyFont="1" applyBorder="1" applyAlignment="1">
      <alignment horizontal="center" vertical="center"/>
    </xf>
    <xf numFmtId="0" fontId="14" fillId="0" borderId="7" xfId="0" applyFont="1" applyBorder="1" applyAlignment="1">
      <alignment horizontal="center" vertical="center" wrapText="1"/>
    </xf>
    <xf numFmtId="0" fontId="13" fillId="0" borderId="16" xfId="0" applyFont="1" applyBorder="1" applyAlignment="1">
      <alignment horizontal="center" vertical="center"/>
    </xf>
    <xf numFmtId="167" fontId="15" fillId="0" borderId="16" xfId="0" applyNumberFormat="1" applyFont="1" applyBorder="1" applyAlignment="1">
      <alignment horizontal="center" vertical="center"/>
    </xf>
    <xf numFmtId="18" fontId="15" fillId="0" borderId="16" xfId="0" applyNumberFormat="1" applyFont="1" applyBorder="1" applyAlignment="1">
      <alignment horizontal="center" vertical="center" wrapText="1"/>
    </xf>
    <xf numFmtId="0" fontId="15" fillId="0" borderId="16" xfId="0" applyFont="1" applyBorder="1" applyAlignment="1">
      <alignment horizontal="center" vertical="center" wrapText="1"/>
    </xf>
    <xf numFmtId="167" fontId="12" fillId="0" borderId="0" xfId="0" applyNumberFormat="1" applyFont="1" applyAlignment="1">
      <alignment vertical="top"/>
    </xf>
    <xf numFmtId="0" fontId="9" fillId="0" borderId="0" xfId="0" applyFont="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center" vertical="justify"/>
    </xf>
    <xf numFmtId="0" fontId="10" fillId="0" borderId="0" xfId="0" applyFont="1" applyAlignment="1">
      <alignment horizontal="right"/>
    </xf>
    <xf numFmtId="0" fontId="10" fillId="0" borderId="0" xfId="0" applyFont="1" applyAlignment="1">
      <alignment horizontal="left"/>
    </xf>
    <xf numFmtId="0" fontId="5" fillId="2" borderId="3" xfId="0" applyFont="1" applyFill="1" applyBorder="1" applyAlignment="1">
      <alignment horizontal="right"/>
    </xf>
    <xf numFmtId="168" fontId="10" fillId="0" borderId="0" xfId="0" applyNumberFormat="1" applyFont="1" applyAlignment="1">
      <alignment horizontal="center"/>
    </xf>
    <xf numFmtId="0" fontId="10" fillId="0" borderId="0" xfId="0" quotePrefix="1" applyFont="1" applyAlignment="1">
      <alignment horizontal="right" vertical="center"/>
    </xf>
    <xf numFmtId="0" fontId="10" fillId="0" borderId="0" xfId="0" applyFont="1" applyAlignment="1">
      <alignment vertical="center"/>
    </xf>
    <xf numFmtId="167" fontId="0" fillId="0" borderId="24" xfId="0" applyNumberFormat="1" applyBorder="1" applyProtection="1">
      <protection locked="0"/>
    </xf>
    <xf numFmtId="0" fontId="14" fillId="0" borderId="16" xfId="0" applyFont="1" applyBorder="1" applyAlignment="1">
      <alignment horizontal="center" vertical="top" wrapText="1"/>
    </xf>
    <xf numFmtId="0" fontId="6" fillId="0" borderId="0" xfId="0" applyFont="1" applyAlignment="1">
      <alignment wrapText="1"/>
    </xf>
    <xf numFmtId="0" fontId="10" fillId="0" borderId="0" xfId="0" applyFont="1" applyAlignment="1">
      <alignment horizontal="center"/>
    </xf>
    <xf numFmtId="18" fontId="23" fillId="0" borderId="0" xfId="0" applyNumberFormat="1" applyFont="1" applyAlignment="1">
      <alignment horizontal="center" wrapText="1"/>
    </xf>
    <xf numFmtId="0" fontId="10" fillId="0" borderId="0" xfId="0" applyFont="1" applyAlignment="1">
      <alignment horizontal="left" vertical="center"/>
    </xf>
    <xf numFmtId="169" fontId="10" fillId="0" borderId="0" xfId="0" applyNumberFormat="1" applyFont="1" applyAlignment="1">
      <alignment horizontal="left" vertical="center"/>
    </xf>
    <xf numFmtId="0" fontId="27" fillId="2" borderId="12" xfId="0" applyFont="1" applyFill="1" applyBorder="1"/>
    <xf numFmtId="0" fontId="27" fillId="2" borderId="10" xfId="0" applyFont="1" applyFill="1" applyBorder="1"/>
    <xf numFmtId="167" fontId="0" fillId="0" borderId="22" xfId="0" applyNumberFormat="1" applyBorder="1" applyProtection="1">
      <protection locked="0"/>
    </xf>
    <xf numFmtId="0" fontId="13" fillId="0" borderId="18" xfId="0" applyFont="1" applyBorder="1" applyProtection="1">
      <protection locked="0"/>
    </xf>
    <xf numFmtId="49" fontId="13" fillId="0" borderId="18" xfId="0" applyNumberFormat="1" applyFont="1" applyBorder="1" applyAlignment="1" applyProtection="1">
      <alignment horizontal="center"/>
      <protection locked="0"/>
    </xf>
    <xf numFmtId="49" fontId="13" fillId="0" borderId="8" xfId="0" applyNumberFormat="1" applyFont="1" applyBorder="1" applyAlignment="1" applyProtection="1">
      <alignment horizontal="center"/>
      <protection locked="0"/>
    </xf>
    <xf numFmtId="0" fontId="13" fillId="0" borderId="2" xfId="0" applyFont="1" applyBorder="1" applyProtection="1">
      <protection locked="0"/>
    </xf>
    <xf numFmtId="1" fontId="13" fillId="0" borderId="4" xfId="0" applyNumberFormat="1" applyFont="1" applyBorder="1" applyProtection="1">
      <protection locked="0"/>
    </xf>
    <xf numFmtId="15" fontId="13" fillId="0" borderId="4" xfId="0" applyNumberFormat="1" applyFont="1" applyBorder="1" applyProtection="1">
      <protection locked="0"/>
    </xf>
    <xf numFmtId="20" fontId="13" fillId="0" borderId="8" xfId="0" applyNumberFormat="1" applyFont="1" applyBorder="1" applyProtection="1">
      <protection locked="0"/>
    </xf>
    <xf numFmtId="0" fontId="28" fillId="0" borderId="0" xfId="0" applyFont="1"/>
    <xf numFmtId="0" fontId="7" fillId="2" borderId="15" xfId="0" applyFont="1" applyFill="1" applyBorder="1" applyAlignment="1">
      <alignment horizontal="center" vertical="center" wrapText="1"/>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5" xfId="0" applyFont="1" applyBorder="1" applyProtection="1">
      <protection locked="0"/>
    </xf>
    <xf numFmtId="49" fontId="5" fillId="0" borderId="25" xfId="0" applyNumberFormat="1" applyFont="1" applyBorder="1" applyAlignment="1" applyProtection="1">
      <alignment horizontal="center"/>
      <protection locked="0"/>
    </xf>
    <xf numFmtId="49" fontId="5" fillId="0" borderId="23" xfId="0" applyNumberFormat="1" applyFont="1" applyBorder="1" applyAlignment="1" applyProtection="1">
      <alignment horizontal="center"/>
      <protection locked="0"/>
    </xf>
    <xf numFmtId="167" fontId="0" fillId="0" borderId="0" xfId="0" applyNumberFormat="1"/>
    <xf numFmtId="0" fontId="14" fillId="0" borderId="7" xfId="0" applyFont="1" applyBorder="1" applyAlignment="1">
      <alignment horizontal="center" vertical="top" wrapText="1"/>
    </xf>
    <xf numFmtId="2" fontId="0" fillId="0" borderId="0" xfId="0" applyNumberFormat="1"/>
    <xf numFmtId="0" fontId="9" fillId="0" borderId="0" xfId="0" applyFont="1" applyAlignment="1">
      <alignment horizontal="center" wrapText="1"/>
    </xf>
    <xf numFmtId="0" fontId="9" fillId="0" borderId="0" xfId="0" applyFont="1"/>
    <xf numFmtId="0" fontId="5" fillId="0" borderId="0" xfId="0" applyFont="1"/>
    <xf numFmtId="0" fontId="27" fillId="2" borderId="26" xfId="0" applyFont="1" applyFill="1" applyBorder="1"/>
    <xf numFmtId="0" fontId="0" fillId="2" borderId="27" xfId="0" applyFill="1" applyBorder="1" applyAlignment="1">
      <alignment horizontal="right"/>
    </xf>
    <xf numFmtId="0" fontId="5" fillId="2" borderId="28" xfId="0" applyFont="1" applyFill="1" applyBorder="1" applyAlignment="1">
      <alignment horizontal="right"/>
    </xf>
    <xf numFmtId="0" fontId="6" fillId="0" borderId="0" xfId="0" applyFont="1" applyAlignment="1">
      <alignment vertical="top" wrapText="1"/>
    </xf>
    <xf numFmtId="0" fontId="5" fillId="0" borderId="0" xfId="0" applyFont="1" applyAlignment="1">
      <alignment wrapText="1"/>
    </xf>
    <xf numFmtId="0" fontId="0" fillId="0" borderId="0" xfId="0" applyProtection="1">
      <protection locked="0"/>
    </xf>
    <xf numFmtId="0" fontId="14" fillId="0" borderId="16" xfId="0" applyFont="1" applyBorder="1" applyAlignment="1" applyProtection="1">
      <alignment horizontal="center" vertical="center" wrapText="1"/>
      <protection locked="0"/>
    </xf>
    <xf numFmtId="0" fontId="7" fillId="0" borderId="16" xfId="0" applyFont="1" applyBorder="1" applyAlignment="1" applyProtection="1">
      <alignment horizontal="center" wrapText="1"/>
      <protection locked="0"/>
    </xf>
    <xf numFmtId="0" fontId="14" fillId="0" borderId="16" xfId="0" applyFont="1" applyBorder="1" applyAlignment="1" applyProtection="1">
      <alignment horizontal="center" vertical="top" wrapText="1"/>
      <protection locked="0"/>
    </xf>
    <xf numFmtId="0" fontId="7" fillId="0" borderId="7" xfId="0" applyFont="1" applyBorder="1" applyProtection="1">
      <protection locked="0"/>
    </xf>
    <xf numFmtId="0" fontId="14" fillId="0" borderId="7" xfId="0" applyFont="1" applyBorder="1" applyAlignment="1" applyProtection="1">
      <alignment horizontal="center" vertical="center" wrapText="1"/>
      <protection locked="0"/>
    </xf>
    <xf numFmtId="168" fontId="10" fillId="0" borderId="18" xfId="0" applyNumberFormat="1" applyFont="1" applyBorder="1" applyAlignment="1" applyProtection="1">
      <alignment horizontal="center"/>
      <protection locked="0"/>
    </xf>
    <xf numFmtId="15" fontId="32" fillId="0" borderId="4" xfId="0" applyNumberFormat="1" applyFont="1" applyBorder="1" applyAlignment="1" applyProtection="1">
      <alignment horizontal="center"/>
      <protection locked="0"/>
    </xf>
    <xf numFmtId="0" fontId="31" fillId="2" borderId="28" xfId="0" applyFont="1" applyFill="1" applyBorder="1" applyAlignment="1">
      <alignment horizontal="right"/>
    </xf>
    <xf numFmtId="15" fontId="31" fillId="2" borderId="2" xfId="0" applyNumberFormat="1" applyFont="1" applyFill="1" applyBorder="1" applyAlignment="1">
      <alignment horizontal="left"/>
    </xf>
    <xf numFmtId="0" fontId="31" fillId="0" borderId="0" xfId="0" applyFont="1"/>
    <xf numFmtId="0" fontId="31" fillId="0" borderId="0" xfId="0" applyFont="1" applyAlignment="1">
      <alignment wrapText="1"/>
    </xf>
    <xf numFmtId="167" fontId="0" fillId="0" borderId="13" xfId="0" applyNumberFormat="1" applyBorder="1"/>
    <xf numFmtId="49" fontId="5" fillId="0" borderId="14" xfId="0" quotePrefix="1" applyNumberFormat="1" applyFont="1" applyBorder="1" applyAlignment="1" applyProtection="1">
      <alignment horizontal="center"/>
      <protection locked="0"/>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10" xfId="0" applyFill="1" applyBorder="1" applyAlignment="1">
      <alignment horizontal="center"/>
    </xf>
    <xf numFmtId="0" fontId="31" fillId="0" borderId="0" xfId="0" applyFont="1" applyAlignment="1">
      <alignment horizontal="left" vertical="top" wrapText="1"/>
    </xf>
    <xf numFmtId="0" fontId="30" fillId="0" borderId="0" xfId="0" applyFont="1" applyAlignment="1">
      <alignment horizontal="left"/>
    </xf>
    <xf numFmtId="0" fontId="13" fillId="0" borderId="9" xfId="0" applyFont="1" applyBorder="1" applyAlignment="1" applyProtection="1">
      <alignment horizontal="left"/>
      <protection locked="0"/>
    </xf>
    <xf numFmtId="0" fontId="13" fillId="0" borderId="5" xfId="0" applyFont="1" applyBorder="1" applyAlignment="1" applyProtection="1">
      <alignment horizontal="left"/>
      <protection locked="0"/>
    </xf>
    <xf numFmtId="0" fontId="13" fillId="0" borderId="10" xfId="0" applyFont="1" applyBorder="1" applyAlignment="1" applyProtection="1">
      <alignment horizontal="left"/>
      <protection locked="0"/>
    </xf>
    <xf numFmtId="0" fontId="28" fillId="0" borderId="0" xfId="0" applyFont="1" applyAlignment="1">
      <alignment horizontal="right"/>
    </xf>
    <xf numFmtId="0" fontId="0" fillId="2" borderId="9" xfId="0" applyFill="1" applyBorder="1" applyAlignment="1">
      <alignment horizontal="center"/>
    </xf>
    <xf numFmtId="0" fontId="10" fillId="0" borderId="0" xfId="0" applyFont="1" applyAlignment="1">
      <alignment horizontal="righ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6" fillId="0" borderId="20" xfId="0" applyFont="1" applyBorder="1" applyAlignment="1">
      <alignment horizontal="center" vertical="top"/>
    </xf>
    <xf numFmtId="0" fontId="9" fillId="0" borderId="0" xfId="0" applyFont="1" applyAlignment="1">
      <alignment horizontal="center"/>
    </xf>
    <xf numFmtId="18" fontId="23" fillId="0" borderId="18" xfId="0" applyNumberFormat="1" applyFont="1" applyBorder="1" applyAlignment="1">
      <alignment horizontal="center" wrapText="1"/>
    </xf>
    <xf numFmtId="0" fontId="19" fillId="0" borderId="0" xfId="0" applyFont="1" applyAlignment="1">
      <alignment horizontal="center" vertical="top"/>
    </xf>
    <xf numFmtId="0" fontId="19" fillId="0" borderId="0" xfId="0" applyFont="1" applyAlignment="1">
      <alignment horizontal="center"/>
    </xf>
    <xf numFmtId="0" fontId="0" fillId="0" borderId="18" xfId="0" applyBorder="1" applyAlignment="1" applyProtection="1">
      <alignment horizontal="left"/>
      <protection locked="0"/>
    </xf>
    <xf numFmtId="0" fontId="29" fillId="0" borderId="18" xfId="0" applyFont="1" applyBorder="1" applyAlignment="1" applyProtection="1">
      <alignment horizontal="left"/>
      <protection locked="0"/>
    </xf>
    <xf numFmtId="0" fontId="8" fillId="0" borderId="5" xfId="0" applyFont="1" applyBorder="1" applyAlignment="1" applyProtection="1">
      <alignment horizontal="left"/>
      <protection locked="0"/>
    </xf>
    <xf numFmtId="0" fontId="7" fillId="0" borderId="18" xfId="0" applyFont="1" applyBorder="1" applyAlignment="1" applyProtection="1">
      <alignment horizontal="center" wrapText="1"/>
      <protection locked="0"/>
    </xf>
    <xf numFmtId="168" fontId="10" fillId="0" borderId="18" xfId="0" applyNumberFormat="1" applyFont="1" applyBorder="1" applyAlignment="1" applyProtection="1">
      <alignment horizontal="left"/>
      <protection locked="0"/>
    </xf>
    <xf numFmtId="169" fontId="12" fillId="0" borderId="5" xfId="0" applyNumberFormat="1" applyFont="1" applyBorder="1" applyAlignment="1" applyProtection="1">
      <alignment horizontal="left"/>
      <protection locked="0"/>
    </xf>
    <xf numFmtId="0" fontId="10" fillId="0" borderId="5" xfId="0" applyFont="1" applyBorder="1" applyAlignment="1" applyProtection="1">
      <alignment horizontal="left"/>
      <protection locked="0"/>
    </xf>
    <xf numFmtId="0" fontId="21" fillId="0" borderId="18" xfId="0" applyFont="1" applyBorder="1" applyAlignment="1">
      <alignment horizontal="center" vertical="center"/>
    </xf>
    <xf numFmtId="167" fontId="12" fillId="0" borderId="20" xfId="0" applyNumberFormat="1" applyFont="1" applyBorder="1" applyAlignment="1">
      <alignment horizontal="center" vertical="center"/>
    </xf>
    <xf numFmtId="0" fontId="12" fillId="0" borderId="18" xfId="0" applyFont="1" applyBorder="1" applyAlignment="1" applyProtection="1">
      <alignment horizontal="left"/>
      <protection locked="0"/>
    </xf>
    <xf numFmtId="168" fontId="10" fillId="0" borderId="0" xfId="0" applyNumberFormat="1" applyFont="1" applyAlignment="1">
      <alignment horizontal="left" vertical="center"/>
    </xf>
    <xf numFmtId="0" fontId="0" fillId="0" borderId="0" xfId="0" applyAlignment="1">
      <alignment horizontal="left" vertical="top"/>
    </xf>
    <xf numFmtId="0" fontId="10" fillId="0" borderId="18" xfId="0" applyFont="1" applyBorder="1" applyAlignment="1" applyProtection="1">
      <alignment horizontal="left"/>
      <protection locked="0"/>
    </xf>
    <xf numFmtId="0" fontId="5" fillId="0" borderId="22" xfId="0" applyFont="1" applyBorder="1" applyAlignment="1">
      <alignment horizontal="right"/>
    </xf>
    <xf numFmtId="0" fontId="0" fillId="0" borderId="18" xfId="0" applyBorder="1" applyAlignment="1">
      <alignment horizontal="right"/>
    </xf>
    <xf numFmtId="0" fontId="0" fillId="0" borderId="8" xfId="0" applyBorder="1" applyAlignment="1">
      <alignment horizontal="right"/>
    </xf>
    <xf numFmtId="15" fontId="0" fillId="0" borderId="22" xfId="0" applyNumberFormat="1" applyBorder="1" applyAlignment="1">
      <alignment horizontal="left"/>
    </xf>
    <xf numFmtId="0" fontId="0" fillId="0" borderId="18" xfId="0" applyBorder="1" applyAlignment="1">
      <alignment horizontal="left"/>
    </xf>
    <xf numFmtId="0" fontId="0" fillId="0" borderId="8" xfId="0" applyBorder="1" applyAlignment="1">
      <alignment horizontal="left"/>
    </xf>
    <xf numFmtId="0" fontId="10" fillId="0" borderId="18" xfId="0" applyFont="1" applyBorder="1" applyProtection="1">
      <protection locked="0"/>
    </xf>
    <xf numFmtId="168" fontId="10" fillId="0" borderId="18" xfId="0" applyNumberFormat="1" applyFont="1" applyBorder="1" applyAlignment="1" applyProtection="1">
      <alignment horizontal="center"/>
      <protection locked="0"/>
    </xf>
    <xf numFmtId="0" fontId="6" fillId="0" borderId="0" xfId="0" applyFont="1" applyAlignment="1">
      <alignment horizontal="center" wrapText="1"/>
    </xf>
    <xf numFmtId="0" fontId="5" fillId="0" borderId="0" xfId="0" applyFont="1" applyAlignment="1">
      <alignment horizontal="right" vertical="top"/>
    </xf>
    <xf numFmtId="0" fontId="0" fillId="0" borderId="0" xfId="0" applyAlignment="1">
      <alignment horizontal="right" vertical="top"/>
    </xf>
    <xf numFmtId="15" fontId="0" fillId="0" borderId="0" xfId="0" applyNumberFormat="1" applyAlignment="1">
      <alignment horizontal="left" vertical="top"/>
    </xf>
    <xf numFmtId="168" fontId="10" fillId="0" borderId="18" xfId="0" applyNumberFormat="1" applyFont="1" applyBorder="1" applyAlignment="1">
      <alignment horizontal="center"/>
    </xf>
    <xf numFmtId="0" fontId="7" fillId="0" borderId="18" xfId="0" applyFont="1" applyBorder="1" applyAlignment="1" applyProtection="1">
      <alignment horizontal="left" wrapText="1"/>
      <protection locked="0"/>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15">
    <dxf>
      <font>
        <color theme="0"/>
      </font>
      <fill>
        <patternFill patternType="none">
          <bgColor auto="1"/>
        </patternFill>
      </fill>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dxf>
    <dxf>
      <font>
        <color theme="0"/>
      </font>
      <fill>
        <patternFill patternType="none">
          <bgColor auto="1"/>
        </patternFill>
      </fill>
      <border>
        <left/>
        <right/>
        <top/>
        <bottom/>
      </border>
    </dxf>
    <dxf>
      <font>
        <color theme="0"/>
      </font>
      <fill>
        <patternFill patternType="none">
          <bgColor auto="1"/>
        </patternFill>
      </fill>
    </dxf>
    <dxf>
      <font>
        <color theme="0"/>
      </font>
      <fill>
        <patternFill patternType="none">
          <bgColor auto="1"/>
        </patternFill>
      </fill>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1113477" y="485206"/>
          <a:ext cx="1992923" cy="15666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099800" y="465993"/>
          <a:ext cx="2006600" cy="15662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7243A14B-4D96-E346-B75C-AEE5C2592045}"/>
            </a:ext>
          </a:extLst>
        </xdr:cNvPr>
        <xdr:cNvPicPr>
          <a:picLocks noChangeAspect="1"/>
        </xdr:cNvPicPr>
      </xdr:nvPicPr>
      <xdr:blipFill>
        <a:blip xmlns:r="http://schemas.openxmlformats.org/officeDocument/2006/relationships" r:embed="rId1"/>
        <a:stretch>
          <a:fillRect/>
        </a:stretch>
      </xdr:blipFill>
      <xdr:spPr>
        <a:xfrm>
          <a:off x="11099800" y="491393"/>
          <a:ext cx="2006600" cy="15662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5EEAACE2-AD57-BD48-BB33-9A5E9F368AED}"/>
            </a:ext>
          </a:extLst>
        </xdr:cNvPr>
        <xdr:cNvPicPr>
          <a:picLocks noChangeAspect="1"/>
        </xdr:cNvPicPr>
      </xdr:nvPicPr>
      <xdr:blipFill>
        <a:blip xmlns:r="http://schemas.openxmlformats.org/officeDocument/2006/relationships" r:embed="rId1"/>
        <a:stretch>
          <a:fillRect/>
        </a:stretch>
      </xdr:blipFill>
      <xdr:spPr>
        <a:xfrm>
          <a:off x="11099800" y="491393"/>
          <a:ext cx="2006600" cy="15662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63"/>
  <sheetViews>
    <sheetView showGridLines="0" zoomScale="150" zoomScaleNormal="150" zoomScalePageLayoutView="135" workbookViewId="0">
      <selection activeCell="B12" sqref="B12"/>
    </sheetView>
  </sheetViews>
  <sheetFormatPr baseColWidth="10" defaultColWidth="8.83203125" defaultRowHeight="13" x14ac:dyDescent="0.15"/>
  <cols>
    <col min="1" max="1" width="16.5" style="2" customWidth="1"/>
    <col min="2" max="2" width="10.5" bestFit="1" customWidth="1"/>
    <col min="3" max="3" width="8.83203125" style="3" hidden="1" customWidth="1"/>
    <col min="4" max="4" width="8.33203125" customWidth="1"/>
    <col min="5" max="5" width="17" bestFit="1" customWidth="1"/>
    <col min="6" max="6" width="18" bestFit="1" customWidth="1"/>
    <col min="7" max="7" width="23.5" customWidth="1"/>
    <col min="8" max="8" width="25.1640625" bestFit="1" customWidth="1"/>
    <col min="9" max="11" width="31.1640625" customWidth="1"/>
    <col min="12" max="15" width="17.83203125" hidden="1" customWidth="1"/>
  </cols>
  <sheetData>
    <row r="1" spans="1:26" ht="20" customHeight="1" x14ac:dyDescent="0.2">
      <c r="A1" s="101" t="s">
        <v>83</v>
      </c>
      <c r="B1" s="101"/>
      <c r="C1" s="101"/>
      <c r="D1" s="101"/>
      <c r="E1" s="101"/>
      <c r="F1" s="101"/>
      <c r="G1" s="101"/>
      <c r="H1" s="101"/>
      <c r="I1" s="77" t="s">
        <v>85</v>
      </c>
      <c r="Q1" s="100" t="s">
        <v>89</v>
      </c>
      <c r="R1" s="100"/>
      <c r="S1" s="100"/>
      <c r="T1" s="100"/>
      <c r="U1" s="100"/>
      <c r="V1" s="100"/>
      <c r="W1" s="100"/>
      <c r="X1" s="100"/>
      <c r="Y1" s="100"/>
      <c r="Z1" s="100"/>
    </row>
    <row r="2" spans="1:26" ht="13" customHeight="1" thickBot="1" x14ac:dyDescent="0.2">
      <c r="H2" s="82"/>
      <c r="I2" s="82"/>
      <c r="Q2" s="100"/>
      <c r="R2" s="100"/>
      <c r="S2" s="100"/>
      <c r="T2" s="100"/>
      <c r="U2" s="100"/>
      <c r="V2" s="100"/>
      <c r="W2" s="100"/>
      <c r="X2" s="100"/>
      <c r="Y2" s="100"/>
      <c r="Z2" s="100"/>
    </row>
    <row r="3" spans="1:26" s="93" customFormat="1" ht="13" customHeight="1" thickBot="1" x14ac:dyDescent="0.2">
      <c r="A3" s="91" t="s">
        <v>82</v>
      </c>
      <c r="B3" s="92">
        <v>44700</v>
      </c>
      <c r="H3" s="94"/>
      <c r="I3" s="94"/>
      <c r="Q3" s="100"/>
      <c r="R3" s="100"/>
      <c r="S3" s="100"/>
      <c r="T3" s="100"/>
      <c r="U3" s="100"/>
      <c r="V3" s="100"/>
      <c r="W3" s="100"/>
      <c r="X3" s="100"/>
      <c r="Y3" s="100"/>
      <c r="Z3" s="100"/>
    </row>
    <row r="4" spans="1:26" ht="13" customHeight="1" x14ac:dyDescent="0.15">
      <c r="A4" s="80" t="s">
        <v>86</v>
      </c>
      <c r="B4" s="90">
        <v>44870</v>
      </c>
      <c r="C4"/>
      <c r="H4" s="82"/>
      <c r="I4" s="82"/>
      <c r="Q4" s="100"/>
      <c r="R4" s="100"/>
      <c r="S4" s="100"/>
      <c r="T4" s="100"/>
      <c r="U4" s="100"/>
      <c r="V4" s="100"/>
      <c r="W4" s="100"/>
      <c r="X4" s="100"/>
      <c r="Y4" s="100"/>
      <c r="Z4" s="100"/>
    </row>
    <row r="5" spans="1:26" ht="14" thickBot="1" x14ac:dyDescent="0.2">
      <c r="H5" s="82"/>
      <c r="I5" s="82"/>
      <c r="Q5" s="100"/>
      <c r="R5" s="100"/>
      <c r="S5" s="100"/>
      <c r="T5" s="100"/>
      <c r="U5" s="100"/>
      <c r="V5" s="100"/>
      <c r="W5" s="100"/>
      <c r="X5" s="100"/>
      <c r="Y5" s="100"/>
      <c r="Z5" s="100"/>
    </row>
    <row r="6" spans="1:26" ht="18" x14ac:dyDescent="0.2">
      <c r="A6" s="11" t="s">
        <v>18</v>
      </c>
      <c r="B6" s="60">
        <v>201</v>
      </c>
      <c r="C6">
        <f>IF(Brevet_Length&gt;=1200,Brevet_Length,IF(Brevet_Length&gt;=1000,1000,IF(Brevet_Length&gt;=600,600,IF(Brevet_Length&gt;=400,400,IF(Brevet_Length&gt;=300,300,IF(Brevet_Length&gt;=200,200,100))))))</f>
        <v>200</v>
      </c>
      <c r="J6" s="105" t="s">
        <v>63</v>
      </c>
      <c r="K6" s="105"/>
      <c r="Q6" s="64" t="s">
        <v>64</v>
      </c>
      <c r="R6" s="64"/>
      <c r="S6" s="64"/>
      <c r="T6" s="64"/>
      <c r="U6" s="64"/>
      <c r="V6" s="64"/>
      <c r="W6" s="64"/>
    </row>
    <row r="7" spans="1:26" ht="14" thickBot="1" x14ac:dyDescent="0.2">
      <c r="A7" s="12" t="s">
        <v>19</v>
      </c>
      <c r="B7" s="13">
        <f>IF(brevet=1200,90,IF(brevet=1000,75,IF(brevet=600,40,IF(brevet=400,27,IF(brevet=300,20,IF(brevet=200,13.5,IF(brevet=100,7,0)))))))</f>
        <v>13.5</v>
      </c>
      <c r="Q7" t="s">
        <v>65</v>
      </c>
    </row>
    <row r="8" spans="1:26" ht="19" thickBot="1" x14ac:dyDescent="0.25">
      <c r="A8" s="12" t="s">
        <v>20</v>
      </c>
      <c r="B8" s="102" t="s">
        <v>161</v>
      </c>
      <c r="C8" s="103"/>
      <c r="D8" s="103"/>
      <c r="E8" s="103"/>
      <c r="F8" s="103"/>
      <c r="G8" s="103"/>
      <c r="H8" s="104"/>
      <c r="I8" s="24"/>
      <c r="J8" s="24"/>
      <c r="K8" s="24"/>
      <c r="Q8" s="64" t="s">
        <v>66</v>
      </c>
    </row>
    <row r="9" spans="1:26" ht="18" x14ac:dyDescent="0.2">
      <c r="A9" s="12" t="s">
        <v>21</v>
      </c>
      <c r="B9" s="61">
        <v>5236</v>
      </c>
      <c r="C9" s="21"/>
      <c r="F9" s="22"/>
      <c r="G9" s="22"/>
      <c r="H9" s="22"/>
      <c r="I9" s="22"/>
      <c r="J9" s="22"/>
      <c r="K9" s="22"/>
      <c r="Q9" s="64" t="s">
        <v>67</v>
      </c>
    </row>
    <row r="10" spans="1:26" ht="18" x14ac:dyDescent="0.2">
      <c r="A10" s="43" t="s">
        <v>48</v>
      </c>
      <c r="B10" s="62"/>
      <c r="Q10" s="64" t="s">
        <v>68</v>
      </c>
    </row>
    <row r="11" spans="1:26" ht="6" customHeight="1" x14ac:dyDescent="0.15">
      <c r="B11" s="83"/>
    </row>
    <row r="12" spans="1:26" ht="18" customHeight="1" thickBot="1" x14ac:dyDescent="0.25">
      <c r="A12" s="79" t="s">
        <v>22</v>
      </c>
      <c r="B12" s="62"/>
      <c r="Q12" s="64" t="s">
        <v>76</v>
      </c>
    </row>
    <row r="13" spans="1:26" ht="19" thickBot="1" x14ac:dyDescent="0.25">
      <c r="A13" s="10" t="s">
        <v>23</v>
      </c>
      <c r="B13" s="63">
        <v>0</v>
      </c>
      <c r="D13" s="97" t="s">
        <v>81</v>
      </c>
      <c r="E13" s="98"/>
      <c r="F13" s="98"/>
      <c r="G13" s="98"/>
      <c r="H13" s="98"/>
      <c r="I13" s="106" t="s">
        <v>71</v>
      </c>
      <c r="J13" s="98"/>
      <c r="K13" s="99"/>
      <c r="Q13" s="64" t="s">
        <v>75</v>
      </c>
    </row>
    <row r="14" spans="1:26" ht="14" thickBot="1" x14ac:dyDescent="0.2">
      <c r="D14" s="6" t="s">
        <v>24</v>
      </c>
      <c r="E14" s="7" t="s">
        <v>25</v>
      </c>
      <c r="F14" s="54" t="s">
        <v>26</v>
      </c>
      <c r="G14" s="54" t="s">
        <v>27</v>
      </c>
      <c r="H14" s="55" t="s">
        <v>28</v>
      </c>
      <c r="I14" s="7" t="s">
        <v>60</v>
      </c>
      <c r="J14" s="7" t="s">
        <v>61</v>
      </c>
      <c r="K14" s="8" t="s">
        <v>62</v>
      </c>
      <c r="L14" t="s">
        <v>3</v>
      </c>
      <c r="M14" t="s">
        <v>4</v>
      </c>
      <c r="N14" t="s">
        <v>5</v>
      </c>
      <c r="O14" t="s">
        <v>6</v>
      </c>
      <c r="Q14" s="64" t="s">
        <v>69</v>
      </c>
    </row>
    <row r="15" spans="1:26" ht="17" customHeight="1" x14ac:dyDescent="0.15">
      <c r="C15" s="3" t="s">
        <v>7</v>
      </c>
      <c r="D15" s="95">
        <v>0</v>
      </c>
      <c r="E15" s="66" t="s">
        <v>96</v>
      </c>
      <c r="F15" s="67" t="s">
        <v>92</v>
      </c>
      <c r="G15" s="67" t="s">
        <v>103</v>
      </c>
      <c r="H15" s="68" t="s">
        <v>104</v>
      </c>
      <c r="I15" s="67"/>
      <c r="J15" s="67"/>
      <c r="K15" s="68"/>
      <c r="L15" s="4">
        <f>Start_date+Start_time</f>
        <v>0</v>
      </c>
      <c r="M15" s="4">
        <f>L15+"1:00"</f>
        <v>4.1666666666666664E-2</v>
      </c>
      <c r="N15" s="5">
        <f>IF(ISBLANK(Distance),"",Open Control_1)</f>
        <v>0</v>
      </c>
      <c r="O15" s="5">
        <f>IF(ISBLANK(Distance),"",Close Control_1)</f>
        <v>4.1666666666666664E-2</v>
      </c>
      <c r="Q15" s="64" t="s">
        <v>84</v>
      </c>
    </row>
    <row r="16" spans="1:26" ht="17" customHeight="1" x14ac:dyDescent="0.15">
      <c r="B16" s="72"/>
      <c r="C16" s="3" t="s">
        <v>8</v>
      </c>
      <c r="D16" s="23">
        <v>24.5</v>
      </c>
      <c r="E16" s="66" t="s">
        <v>95</v>
      </c>
      <c r="F16" s="67" t="s">
        <v>91</v>
      </c>
      <c r="G16" s="67" t="s">
        <v>94</v>
      </c>
      <c r="H16" s="68" t="s">
        <v>105</v>
      </c>
      <c r="I16" s="67" t="s">
        <v>144</v>
      </c>
      <c r="J16" s="67" t="s">
        <v>145</v>
      </c>
      <c r="K16" s="68"/>
      <c r="L16">
        <f>IF(ISBLANK(Distance),"",IF(Distance&gt;1000,(Distance-1000)/26+33.0847,(IF(Distance&gt;600,(Distance-600)/28+18.799,(IF(Distance&gt;400,(Distance-400)/30+12.1324,(IF(Distance&gt;200,(Distance-200)/32+5.8824,Distance/34))))))))</f>
        <v>0.72058823529411764</v>
      </c>
      <c r="M16">
        <f t="shared" ref="M16:M24" si="0">IF(ISBLANK(Distance),"",IF(Distance&gt;=brevet,IF(brevet&gt;1200,(brevet-1200)*75/1000+90,Max_time),IF(Distance&gt;1200,(Distance-1200)*75/1000+90,IF(Distance&gt;1000,(Distance-1000)/(1000/75)+75,IF(Distance&gt;600,(Distance-600)/(400/35)+40,IF(Distance&lt;=60,(Distance/20+1),Distance/15))))))</f>
        <v>2.2250000000000001</v>
      </c>
      <c r="N16" s="5">
        <f>IF(ISBLANK(Distance),"",Open_time Control_1+(INT(Open)&amp;":"&amp;IF(ROUND(((Open-INT(Open))*60),0)&lt;10,0,"")&amp;ROUND(((Open-INT(Open))*60),0)))</f>
        <v>2.9861111111111113E-2</v>
      </c>
      <c r="O16" s="5">
        <f>IF(ISBLANK(Distance),"",Open_time Control_1+(INT(Close)&amp;":"&amp;IF(ROUND(((Close-INT(Close))*60),0)&lt;10,0,"")&amp;ROUND(((Close-INT(Close))*60),0)))</f>
        <v>9.3055555555555558E-2</v>
      </c>
      <c r="Q16" s="64" t="s">
        <v>70</v>
      </c>
    </row>
    <row r="17" spans="2:17" ht="17" customHeight="1" x14ac:dyDescent="0.15">
      <c r="B17" s="72"/>
      <c r="C17" s="3" t="s">
        <v>9</v>
      </c>
      <c r="D17" s="23">
        <v>38.4</v>
      </c>
      <c r="E17" s="66" t="s">
        <v>97</v>
      </c>
      <c r="F17" s="67" t="s">
        <v>91</v>
      </c>
      <c r="G17" s="67" t="s">
        <v>106</v>
      </c>
      <c r="H17" s="68" t="s">
        <v>107</v>
      </c>
      <c r="I17" s="67" t="s">
        <v>156</v>
      </c>
      <c r="J17" s="67" t="s">
        <v>157</v>
      </c>
      <c r="K17" s="68" t="s">
        <v>158</v>
      </c>
      <c r="L17">
        <f>IF(ISBLANK(Distance),"",IF(Distance&gt;1000,(Distance-1000)/26+33.0847,(IF(Distance&gt;600,(Distance-600)/28+18.799,(IF(Distance&gt;400,(Distance-400)/30+12.1324,(IF(Distance&gt;200,(Distance-200)/32+5.8824,Distance/34))))))))</f>
        <v>1.1294117647058823</v>
      </c>
      <c r="M17">
        <f t="shared" si="0"/>
        <v>2.92</v>
      </c>
      <c r="N17" s="5">
        <f>IF(ISBLANK(Distance),"",Open_time Control_1+(INT(Open)&amp;":"&amp;IF(ROUND(((Open-INT(Open))*60),0)&lt;10,0,"")&amp;ROUND(((Open-INT(Open))*60),0)))</f>
        <v>4.7222222222222221E-2</v>
      </c>
      <c r="O17" s="5">
        <f>IF(ISBLANK(Distance),"",Open_time Control_1+(INT(Close)&amp;":"&amp;IF(ROUND(((Close-INT(Close))*60),0)&lt;10,0,"")&amp;ROUND(((Close-INT(Close))*60),0)))</f>
        <v>0.12152777777777778</v>
      </c>
    </row>
    <row r="18" spans="2:17" ht="17" customHeight="1" x14ac:dyDescent="0.15">
      <c r="B18" s="72"/>
      <c r="C18" s="3" t="s">
        <v>10</v>
      </c>
      <c r="D18" s="23">
        <v>42.7</v>
      </c>
      <c r="E18" s="66" t="s">
        <v>97</v>
      </c>
      <c r="F18" s="67" t="s">
        <v>91</v>
      </c>
      <c r="G18" s="67" t="s">
        <v>108</v>
      </c>
      <c r="H18" s="68" t="s">
        <v>109</v>
      </c>
      <c r="I18" s="67" t="s">
        <v>146</v>
      </c>
      <c r="J18" s="67" t="s">
        <v>147</v>
      </c>
      <c r="K18" s="68"/>
      <c r="L18">
        <f t="shared" ref="L18:L24" si="1">IF(ISBLANK(Distance),"",IF(Distance&gt;1000,(Distance-1000)/26+33.0847,(IF(Distance&gt;600,(Distance-600)/28+18.799,(IF(Distance&gt;400,(Distance-400)/30+12.1324,(IF(Distance&gt;200,(Distance-200)/32+5.8824,Distance/34))))))))</f>
        <v>1.2558823529411764</v>
      </c>
      <c r="M18">
        <f t="shared" si="0"/>
        <v>3.1350000000000002</v>
      </c>
      <c r="N18" s="5">
        <f>IF(ISBLANK(Distance),"",Open_time Control_1+(INT(Open)&amp;":"&amp;IF(ROUND(((Open-INT(Open))*60),0)&lt;10,0,"")&amp;ROUND(((Open-INT(Open))*60),0)))</f>
        <v>5.2083333333333336E-2</v>
      </c>
      <c r="O18" s="5">
        <f>IF(ISBLANK(Distance),"",Open_time Control_1+(INT(Close)&amp;":"&amp;IF(ROUND(((Close-INT(Close))*60),0)&lt;10,0,"")&amp;ROUND(((Close-INT(Close))*60),0)))</f>
        <v>0.13055555555555556</v>
      </c>
    </row>
    <row r="19" spans="2:17" ht="17" customHeight="1" x14ac:dyDescent="0.15">
      <c r="B19" s="72"/>
      <c r="C19" s="3" t="s">
        <v>11</v>
      </c>
      <c r="D19" s="23">
        <v>52.5</v>
      </c>
      <c r="E19" s="66" t="s">
        <v>98</v>
      </c>
      <c r="F19" s="67" t="s">
        <v>91</v>
      </c>
      <c r="G19" s="67" t="s">
        <v>110</v>
      </c>
      <c r="H19" s="68" t="s">
        <v>111</v>
      </c>
      <c r="I19" s="67" t="s">
        <v>148</v>
      </c>
      <c r="J19" s="67" t="s">
        <v>149</v>
      </c>
      <c r="K19" s="68"/>
      <c r="L19">
        <f t="shared" si="1"/>
        <v>1.5441176470588236</v>
      </c>
      <c r="M19">
        <f t="shared" si="0"/>
        <v>3.625</v>
      </c>
      <c r="N19" s="5">
        <f>IF(ISBLANK(Distance),"",Open_time Control_1+(INT(Open)&amp;":"&amp;IF(ROUND(((Open-INT(Open))*60),0)&lt;10,0,"")&amp;ROUND(((Open-INT(Open))*60),0)))</f>
        <v>6.458333333333334E-2</v>
      </c>
      <c r="O19" s="5">
        <f>IF(ISBLANK(Distance),"",Open_time Control_1+(INT(Close)&amp;":"&amp;IF(ROUND(((Close-INT(Close))*60),0)&lt;10,0,"")&amp;ROUND(((Close-INT(Close))*60),0)))</f>
        <v>0.15138888888888888</v>
      </c>
      <c r="Q19" s="77"/>
    </row>
    <row r="20" spans="2:17" ht="17" customHeight="1" x14ac:dyDescent="0.15">
      <c r="B20" s="72"/>
      <c r="C20" s="3" t="s">
        <v>12</v>
      </c>
      <c r="D20" s="23">
        <v>69.3</v>
      </c>
      <c r="E20" s="66" t="s">
        <v>99</v>
      </c>
      <c r="F20" s="67" t="s">
        <v>91</v>
      </c>
      <c r="G20" s="67" t="s">
        <v>112</v>
      </c>
      <c r="H20" s="68" t="s">
        <v>113</v>
      </c>
      <c r="I20" s="67" t="s">
        <v>150</v>
      </c>
      <c r="J20" s="96" t="s">
        <v>151</v>
      </c>
      <c r="K20" s="68"/>
      <c r="L20">
        <f t="shared" si="1"/>
        <v>2.0382352941176469</v>
      </c>
      <c r="M20">
        <f t="shared" si="0"/>
        <v>4.62</v>
      </c>
      <c r="N20" s="5">
        <f>IF(ISBLANK(Distance),"",Open_time Control_1+(INT(Open)&amp;":"&amp;IF(ROUND(((Open-INT(Open))*60),0)&lt;10,0,"")&amp;ROUND(((Open-INT(Open))*60),0)))</f>
        <v>8.4722222222222213E-2</v>
      </c>
      <c r="O20" s="5">
        <f>IF(ISBLANK(Distance),"",Open_time Control_1+(INT(Close)&amp;":"&amp;IF(ROUND(((Close-INT(Close))*60),0)&lt;10,0,"")&amp;ROUND(((Close-INT(Close))*60),0)))</f>
        <v>0.19236111111111112</v>
      </c>
    </row>
    <row r="21" spans="2:17" ht="17" customHeight="1" x14ac:dyDescent="0.15">
      <c r="B21" s="72"/>
      <c r="C21" s="3" t="s">
        <v>13</v>
      </c>
      <c r="D21" s="23">
        <v>76.7</v>
      </c>
      <c r="E21" s="66" t="s">
        <v>114</v>
      </c>
      <c r="F21" s="67" t="s">
        <v>91</v>
      </c>
      <c r="G21" s="67" t="s">
        <v>116</v>
      </c>
      <c r="H21" s="68" t="s">
        <v>115</v>
      </c>
      <c r="I21" s="67" t="s">
        <v>152</v>
      </c>
      <c r="J21" s="67" t="s">
        <v>153</v>
      </c>
      <c r="K21" s="68"/>
      <c r="L21">
        <f t="shared" si="1"/>
        <v>2.2558823529411764</v>
      </c>
      <c r="M21">
        <f t="shared" si="0"/>
        <v>5.1133333333333333</v>
      </c>
      <c r="N21" s="5">
        <f>IF(ISBLANK(Distance),"",Open_time Control_1+(INT(Open)&amp;":"&amp;IF(ROUND(((Open-INT(Open))*60),0)&lt;10,0,"")&amp;ROUND(((Open-INT(Open))*60),0)))</f>
        <v>9.375E-2</v>
      </c>
      <c r="O21" s="5">
        <f>IF(ISBLANK(Distance),"",Open_time Control_1+(INT(Close)&amp;":"&amp;IF(ROUND(((Close-INT(Close))*60),0)&lt;10,0,"")&amp;ROUND(((Close-INT(Close))*60),0)))</f>
        <v>0.21319444444444444</v>
      </c>
    </row>
    <row r="22" spans="2:17" ht="17" customHeight="1" x14ac:dyDescent="0.15">
      <c r="B22" s="72"/>
      <c r="C22" s="3" t="s">
        <v>14</v>
      </c>
      <c r="D22" s="23">
        <v>103.7</v>
      </c>
      <c r="E22" s="66" t="s">
        <v>117</v>
      </c>
      <c r="F22" s="67" t="s">
        <v>91</v>
      </c>
      <c r="G22" s="67" t="s">
        <v>118</v>
      </c>
      <c r="H22" s="68" t="s">
        <v>119</v>
      </c>
      <c r="I22" s="67" t="s">
        <v>154</v>
      </c>
      <c r="J22" s="67" t="s">
        <v>155</v>
      </c>
      <c r="K22" s="68"/>
      <c r="L22">
        <f t="shared" si="1"/>
        <v>3.0500000000000003</v>
      </c>
      <c r="M22">
        <f t="shared" si="0"/>
        <v>6.9133333333333331</v>
      </c>
      <c r="N22" s="5">
        <f>IF(ISBLANK(Distance),"",Open_time Control_1+(INT(Open)&amp;":"&amp;IF(ROUND(((Open-INT(Open))*60),0)&lt;10,0,"")&amp;ROUND(((Open-INT(Open))*60),0)))</f>
        <v>0.12708333333333333</v>
      </c>
      <c r="O22" s="5">
        <f>IF(ISBLANK(Distance),"",Open_time Control_1+(INT(Close)&amp;":"&amp;IF(ROUND(((Close-INT(Close))*60),0)&lt;10,0,"")&amp;ROUND(((Close-INT(Close))*60),0)))</f>
        <v>0.28819444444444448</v>
      </c>
    </row>
    <row r="23" spans="2:17" ht="17" customHeight="1" x14ac:dyDescent="0.15">
      <c r="B23" s="72"/>
      <c r="C23" s="3" t="s">
        <v>15</v>
      </c>
      <c r="D23" s="23"/>
      <c r="E23" s="66"/>
      <c r="F23" s="67"/>
      <c r="G23" s="67"/>
      <c r="H23" s="68"/>
      <c r="I23" s="67"/>
      <c r="J23" s="67"/>
      <c r="K23" s="68"/>
      <c r="L23" t="str">
        <f t="shared" si="1"/>
        <v/>
      </c>
      <c r="M23" t="str">
        <f t="shared" si="0"/>
        <v/>
      </c>
      <c r="N23" s="5" t="str">
        <f>IF(ISBLANK(Distance),"",Open_time Control_1+(INT(Open)&amp;":"&amp;IF(ROUND(((Open-INT(Open))*60),0)&lt;10,0,"")&amp;ROUND(((Open-INT(Open))*60),0)))</f>
        <v/>
      </c>
      <c r="O23" s="5" t="str">
        <f>IF(ISBLANK(Distance),"",Open_time Control_1+(INT(Close)&amp;":"&amp;IF(ROUND(((Close-INT(Close))*60),0)&lt;10,0,"")&amp;ROUND(((Close-INT(Close))*60),0)))</f>
        <v/>
      </c>
    </row>
    <row r="24" spans="2:17" ht="17" customHeight="1" thickBot="1" x14ac:dyDescent="0.2">
      <c r="B24" s="72"/>
      <c r="C24" s="3" t="s">
        <v>16</v>
      </c>
      <c r="D24" s="47"/>
      <c r="E24" s="69" t="s">
        <v>101</v>
      </c>
      <c r="F24" s="70"/>
      <c r="G24" s="70"/>
      <c r="H24" s="71"/>
      <c r="I24" s="70"/>
      <c r="J24" s="70"/>
      <c r="K24" s="71"/>
      <c r="L24" t="str">
        <f t="shared" si="1"/>
        <v/>
      </c>
      <c r="M24" t="str">
        <f t="shared" si="0"/>
        <v/>
      </c>
      <c r="N24" s="5" t="str">
        <f>IF(ISBLANK(Distance),"",Open_time Control_1+(INT(Open)&amp;":"&amp;IF(ROUND(((Open-INT(Open))*60),0)&lt;10,0,"")&amp;ROUND(((Open-INT(Open))*60),0)))</f>
        <v/>
      </c>
      <c r="O24" s="5" t="str">
        <f>IF(ISBLANK(Distance),"",Open_time Control_1+(INT(Close)&amp;":"&amp;IF(ROUND(((Close-INT(Close))*60),0)&lt;10,0,"")&amp;ROUND(((Close-INT(Close))*60),0)))</f>
        <v/>
      </c>
    </row>
    <row r="25" spans="2:17" ht="7" customHeight="1" thickBot="1" x14ac:dyDescent="0.25">
      <c r="D25" s="56"/>
      <c r="E25" s="57"/>
      <c r="F25" s="58"/>
      <c r="G25" s="58"/>
      <c r="H25" s="58"/>
      <c r="I25" s="58"/>
      <c r="J25" s="58"/>
      <c r="K25" s="59"/>
      <c r="N25" s="5"/>
      <c r="O25" s="5"/>
    </row>
    <row r="26" spans="2:17" ht="14" thickBot="1" x14ac:dyDescent="0.2">
      <c r="D26" s="97" t="s">
        <v>77</v>
      </c>
      <c r="E26" s="98"/>
      <c r="F26" s="98"/>
      <c r="G26" s="98"/>
      <c r="H26" s="98"/>
      <c r="I26" s="106" t="s">
        <v>72</v>
      </c>
      <c r="J26" s="98"/>
      <c r="K26" s="99"/>
    </row>
    <row r="27" spans="2:17" ht="14" thickBot="1" x14ac:dyDescent="0.2">
      <c r="D27" s="6" t="s">
        <v>24</v>
      </c>
      <c r="E27" s="7" t="s">
        <v>25</v>
      </c>
      <c r="F27" s="54" t="s">
        <v>26</v>
      </c>
      <c r="G27" s="54" t="s">
        <v>27</v>
      </c>
      <c r="H27" s="55" t="s">
        <v>28</v>
      </c>
      <c r="I27" s="7" t="s">
        <v>60</v>
      </c>
      <c r="J27" s="7" t="s">
        <v>61</v>
      </c>
      <c r="K27" s="8" t="s">
        <v>62</v>
      </c>
      <c r="L27" t="s">
        <v>3</v>
      </c>
      <c r="M27" t="s">
        <v>4</v>
      </c>
      <c r="N27" t="s">
        <v>5</v>
      </c>
      <c r="O27" t="s">
        <v>6</v>
      </c>
    </row>
    <row r="28" spans="2:17" ht="17" customHeight="1" x14ac:dyDescent="0.15">
      <c r="D28" s="23">
        <v>122</v>
      </c>
      <c r="E28" s="66" t="s">
        <v>100</v>
      </c>
      <c r="F28" s="67" t="s">
        <v>91</v>
      </c>
      <c r="G28" s="67" t="s">
        <v>120</v>
      </c>
      <c r="H28" s="68" t="s">
        <v>121</v>
      </c>
      <c r="I28" s="67" t="s">
        <v>135</v>
      </c>
      <c r="J28" s="67" t="s">
        <v>159</v>
      </c>
      <c r="K28" s="68" t="s">
        <v>160</v>
      </c>
      <c r="L28">
        <f>IF(ISBLANK(D28),"",IF(D28&gt;1000,(D28-1000)/26+33.0847,(IF(D28&gt;600,(D28-600)/28+18.799,(IF(D28&gt;400,(D28-400)/30+12.1324,(IF(D28&gt;200,(D28-200)/32+5.8824,D28/34))))))))</f>
        <v>3.5882352941176472</v>
      </c>
      <c r="M28">
        <f t="shared" ref="M28:M37" si="2">IF(ISBLANK(D28),"",IF((D28=0),1,IF(D28&gt;=brevet,IF(brevet&gt;1200,(brevet-1200)*75/1000+90,Max_time),IF(D28&gt;1200,(D28-1200)*75/1000+90,IF(D28&gt;1000,(D28-1000)/(1000/75)+75,IF(D28&gt;600,(D28-600)/(400/35)+40,IF(D28&lt;=60,D28/20+1,D28/15)))))))</f>
        <v>8.1333333333333329</v>
      </c>
      <c r="N28" s="5">
        <f>IF(ISBLANK(D28),"",Open_time Control_1+(INT(L28)&amp;":"&amp;IF(ROUND(((L28-INT(L28))*60),0)&lt;10,0,"")&amp;ROUND(((L28-INT(L28))*60),0)))</f>
        <v>0.14930555555555555</v>
      </c>
      <c r="O28" s="5">
        <f>IF(ISBLANK(D28),"",Open_time Control_1+(INT(M28)&amp;":"&amp;IF(ROUND(((M28-INT(M28))*60),0)&lt;10,0,"")&amp;ROUND(((M28-INT(M28))*60),0)))</f>
        <v>0.33888888888888885</v>
      </c>
    </row>
    <row r="29" spans="2:17" ht="17" customHeight="1" x14ac:dyDescent="0.15">
      <c r="D29" s="23">
        <v>140.9</v>
      </c>
      <c r="E29" s="66" t="s">
        <v>95</v>
      </c>
      <c r="F29" s="67" t="s">
        <v>91</v>
      </c>
      <c r="G29" s="67" t="s">
        <v>122</v>
      </c>
      <c r="H29" s="68" t="s">
        <v>123</v>
      </c>
      <c r="I29" s="67" t="s">
        <v>137</v>
      </c>
      <c r="J29" s="67" t="s">
        <v>136</v>
      </c>
      <c r="K29" s="68"/>
      <c r="L29">
        <f t="shared" ref="L29:L37" si="3">IF(ISBLANK(D29),"",IF(D29&gt;1000,(D29-1000)/26+33.0847,(IF(D29&gt;600,(D29-600)/28+18.799,(IF(D29&gt;400,(D29-400)/30+12.1324,(IF(D29&gt;200,(D29-200)/32+5.8824,D29/34))))))))</f>
        <v>4.1441176470588239</v>
      </c>
      <c r="M29">
        <f t="shared" si="2"/>
        <v>9.3933333333333344</v>
      </c>
      <c r="N29" s="5">
        <f>IF(ISBLANK(D29),"",Open_time Control_1+(INT(L29)&amp;":"&amp;IF(ROUND(((L29-INT(L29))*60),0)&lt;10,0,"")&amp;ROUND(((L29-INT(L29))*60),0)))</f>
        <v>0.17291666666666669</v>
      </c>
      <c r="O29" s="5">
        <f>IF(ISBLANK(D29),"",Open_time Control_1+(INT(M29)&amp;":"&amp;IF(ROUND(((M29-INT(M29))*60),0)&lt;10,0,"")&amp;ROUND(((M29-INT(M29))*60),0)))</f>
        <v>0.39166666666666666</v>
      </c>
    </row>
    <row r="30" spans="2:17" ht="17" customHeight="1" x14ac:dyDescent="0.15">
      <c r="D30" s="23">
        <v>161.9</v>
      </c>
      <c r="E30" s="66" t="s">
        <v>102</v>
      </c>
      <c r="F30" s="67" t="s">
        <v>91</v>
      </c>
      <c r="G30" s="67" t="s">
        <v>124</v>
      </c>
      <c r="H30" s="68" t="s">
        <v>125</v>
      </c>
      <c r="I30" s="67" t="s">
        <v>138</v>
      </c>
      <c r="J30" s="67" t="s">
        <v>139</v>
      </c>
      <c r="K30" s="68"/>
      <c r="L30">
        <f t="shared" si="3"/>
        <v>4.7617647058823529</v>
      </c>
      <c r="M30">
        <f t="shared" si="2"/>
        <v>10.793333333333333</v>
      </c>
      <c r="N30" s="5">
        <f>IF(ISBLANK(D30),"",Open_time Control_1+(INT(L30)&amp;":"&amp;IF(ROUND(((L30-INT(L30))*60),0)&lt;10,0,"")&amp;ROUND(((L30-INT(L30))*60),0)))</f>
        <v>0.1986111111111111</v>
      </c>
      <c r="O30" s="5">
        <f>IF(ISBLANK(D30),"",Open_time Control_1+(INT(M30)&amp;":"&amp;IF(ROUND(((M30-INT(M30))*60),0)&lt;10,0,"")&amp;ROUND(((M30-INT(M30))*60),0)))</f>
        <v>0.45</v>
      </c>
    </row>
    <row r="31" spans="2:17" ht="17" customHeight="1" x14ac:dyDescent="0.15">
      <c r="D31" s="23">
        <v>186.1</v>
      </c>
      <c r="E31" s="66" t="s">
        <v>95</v>
      </c>
      <c r="F31" s="67" t="s">
        <v>91</v>
      </c>
      <c r="G31" s="67" t="s">
        <v>126</v>
      </c>
      <c r="H31" s="68" t="s">
        <v>127</v>
      </c>
      <c r="I31" s="67" t="s">
        <v>132</v>
      </c>
      <c r="J31" s="67" t="s">
        <v>142</v>
      </c>
      <c r="K31" s="68"/>
      <c r="L31">
        <f t="shared" si="3"/>
        <v>5.473529411764706</v>
      </c>
      <c r="M31">
        <f t="shared" si="2"/>
        <v>12.406666666666666</v>
      </c>
      <c r="N31" s="5">
        <f>IF(ISBLANK(D31),"",Open_time Control_1+(INT(L31)&amp;":"&amp;IF(ROUND(((L31-INT(L31))*60),0)&lt;10,0,"")&amp;ROUND(((L31-INT(L31))*60),0)))</f>
        <v>0.22777777777777777</v>
      </c>
      <c r="O31" s="5">
        <f>IF(ISBLANK(D31),"",Open_time Control_1+(INT(M31)&amp;":"&amp;IF(ROUND(((M31-INT(M31))*60),0)&lt;10,0,"")&amp;ROUND(((M31-INT(M31))*60),0)))</f>
        <v>0.51666666666666672</v>
      </c>
    </row>
    <row r="32" spans="2:17" ht="17" customHeight="1" x14ac:dyDescent="0.15">
      <c r="D32" s="23">
        <v>197.6</v>
      </c>
      <c r="E32" s="66" t="s">
        <v>96</v>
      </c>
      <c r="F32" s="67" t="s">
        <v>91</v>
      </c>
      <c r="G32" s="67" t="s">
        <v>128</v>
      </c>
      <c r="H32" s="68" t="s">
        <v>129</v>
      </c>
      <c r="I32" s="67" t="s">
        <v>140</v>
      </c>
      <c r="J32" s="67" t="s">
        <v>141</v>
      </c>
      <c r="K32" s="68"/>
      <c r="L32">
        <f t="shared" si="3"/>
        <v>5.8117647058823527</v>
      </c>
      <c r="M32">
        <f t="shared" si="2"/>
        <v>13.173333333333334</v>
      </c>
      <c r="N32" s="5">
        <f>IF(ISBLANK(D32),"",Open_time Control_1+(INT(L32)&amp;":"&amp;IF(ROUND(((L32-INT(L32))*60),0)&lt;10,0,"")&amp;ROUND(((L32-INT(L32))*60),0)))</f>
        <v>0.24236111111111111</v>
      </c>
      <c r="O32" s="5">
        <f>IF(ISBLANK(D32),"",Open_time Control_1+(INT(M32)&amp;":"&amp;IF(ROUND(((M32-INT(M32))*60),0)&lt;10,0,"")&amp;ROUND(((M32-INT(M32))*60),0)))</f>
        <v>0.54861111111111105</v>
      </c>
    </row>
    <row r="33" spans="4:15" ht="17" customHeight="1" x14ac:dyDescent="0.15">
      <c r="D33" s="23">
        <v>199</v>
      </c>
      <c r="E33" s="66" t="s">
        <v>96</v>
      </c>
      <c r="F33" s="67" t="s">
        <v>91</v>
      </c>
      <c r="G33" s="67" t="s">
        <v>130</v>
      </c>
      <c r="H33" s="68" t="s">
        <v>131</v>
      </c>
      <c r="I33" s="67" t="s">
        <v>134</v>
      </c>
      <c r="J33" s="67" t="s">
        <v>143</v>
      </c>
      <c r="K33" s="68"/>
      <c r="L33">
        <f t="shared" si="3"/>
        <v>5.8529411764705879</v>
      </c>
      <c r="M33">
        <f t="shared" si="2"/>
        <v>13.266666666666667</v>
      </c>
      <c r="N33" s="5">
        <f>IF(ISBLANK(D33),"",Open_time Control_1+(INT(L33)&amp;":"&amp;IF(ROUND(((L33-INT(L33))*60),0)&lt;10,0,"")&amp;ROUND(((L33-INT(L33))*60),0)))</f>
        <v>0.24374999999999999</v>
      </c>
      <c r="O33" s="5">
        <f>IF(ISBLANK(D33),"",Open_time Control_1+(INT(M33)&amp;":"&amp;IF(ROUND(((M33-INT(M33))*60),0)&lt;10,0,"")&amp;ROUND(((M33-INT(M33))*60),0)))</f>
        <v>0.55277777777777781</v>
      </c>
    </row>
    <row r="34" spans="4:15" ht="17" customHeight="1" x14ac:dyDescent="0.15">
      <c r="D34" s="23">
        <v>201.2</v>
      </c>
      <c r="E34" s="66" t="s">
        <v>96</v>
      </c>
      <c r="F34" s="67" t="s">
        <v>93</v>
      </c>
      <c r="G34" s="67" t="s">
        <v>103</v>
      </c>
      <c r="H34" s="68" t="s">
        <v>104</v>
      </c>
      <c r="I34" s="67" t="s">
        <v>133</v>
      </c>
      <c r="J34" s="96"/>
      <c r="K34" s="68"/>
      <c r="L34">
        <f t="shared" si="3"/>
        <v>5.9198999999999993</v>
      </c>
      <c r="M34">
        <f t="shared" si="2"/>
        <v>13.5</v>
      </c>
      <c r="N34" s="5">
        <f>IF(ISBLANK(D34),"",Open_time Control_1+(INT(L34)&amp;":"&amp;IF(ROUND(((L34-INT(L34))*60),0)&lt;10,0,"")&amp;ROUND(((L34-INT(L34))*60),0)))</f>
        <v>0.24652777777777779</v>
      </c>
      <c r="O34" s="5">
        <f>IF(ISBLANK(D34),"",Open_time Control_1+(INT(M34)&amp;":"&amp;IF(ROUND(((M34-INT(M34))*60),0)&lt;10,0,"")&amp;ROUND(((M34-INT(M34))*60),0)))</f>
        <v>0.5625</v>
      </c>
    </row>
    <row r="35" spans="4:15" ht="17" customHeight="1" x14ac:dyDescent="0.15">
      <c r="D35" s="23"/>
      <c r="E35" s="66"/>
      <c r="F35" s="67"/>
      <c r="G35" s="67"/>
      <c r="H35" s="68"/>
      <c r="I35" s="67"/>
      <c r="J35" s="67"/>
      <c r="K35" s="68"/>
      <c r="L35" t="str">
        <f t="shared" si="3"/>
        <v/>
      </c>
      <c r="M35" t="str">
        <f t="shared" si="2"/>
        <v/>
      </c>
      <c r="N35" s="5" t="str">
        <f>IF(ISBLANK(D35),"",Open_time Control_1+(INT(L35)&amp;":"&amp;IF(ROUND(((L35-INT(L35))*60),0)&lt;10,0,"")&amp;ROUND(((L35-INT(L35))*60),0)))</f>
        <v/>
      </c>
      <c r="O35" s="5" t="str">
        <f>IF(ISBLANK(D35),"",Open_time Control_1+(INT(M35)&amp;":"&amp;IF(ROUND(((M35-INT(M35))*60),0)&lt;10,0,"")&amp;ROUND(((M35-INT(M35))*60),0)))</f>
        <v/>
      </c>
    </row>
    <row r="36" spans="4:15" ht="17" customHeight="1" x14ac:dyDescent="0.15">
      <c r="D36" s="23"/>
      <c r="E36" s="66" t="s">
        <v>101</v>
      </c>
      <c r="F36" s="67"/>
      <c r="G36" s="67"/>
      <c r="H36" s="68"/>
      <c r="I36" s="67"/>
      <c r="J36" s="67"/>
      <c r="K36" s="68"/>
      <c r="L36" t="str">
        <f t="shared" si="3"/>
        <v/>
      </c>
      <c r="M36" t="str">
        <f t="shared" si="2"/>
        <v/>
      </c>
      <c r="N36" s="5" t="str">
        <f>IF(ISBLANK(D36),"",Open_time Control_1+(INT(L36)&amp;":"&amp;IF(ROUND(((L36-INT(L36))*60),0)&lt;10,0,"")&amp;ROUND(((L36-INT(L36))*60),0)))</f>
        <v/>
      </c>
      <c r="O36" s="5" t="str">
        <f>IF(ISBLANK(D36),"",Open_time Control_1+(INT(M36)&amp;":"&amp;IF(ROUND(((M36-INT(M36))*60),0)&lt;10,0,"")&amp;ROUND(((M36-INT(M36))*60),0)))</f>
        <v/>
      </c>
    </row>
    <row r="37" spans="4:15" ht="17" customHeight="1" thickBot="1" x14ac:dyDescent="0.2">
      <c r="D37" s="47"/>
      <c r="E37" s="69"/>
      <c r="F37" s="70"/>
      <c r="G37" s="70"/>
      <c r="H37" s="71"/>
      <c r="I37" s="70"/>
      <c r="J37" s="70"/>
      <c r="K37" s="71"/>
      <c r="L37" t="str">
        <f t="shared" si="3"/>
        <v/>
      </c>
      <c r="M37" t="str">
        <f t="shared" si="2"/>
        <v/>
      </c>
      <c r="N37" s="5" t="str">
        <f>IF(ISBLANK(D37),"",Open_time Control_1+(INT(L37)&amp;":"&amp;IF(ROUND(((L37-INT(L37))*60),0)&lt;10,0,"")&amp;ROUND(((L37-INT(L37))*60),0)))</f>
        <v/>
      </c>
      <c r="O37" s="5" t="str">
        <f>IF(ISBLANK(D37),"",Open_time Control_1+(INT(M37)&amp;":"&amp;IF(ROUND(((M37-INT(M37))*60),0)&lt;10,0,"")&amp;ROUND(((M37-INT(M37))*60),0)))</f>
        <v/>
      </c>
    </row>
    <row r="38" spans="4:15" ht="7" customHeight="1" thickBot="1" x14ac:dyDescent="0.25">
      <c r="D38" s="56"/>
      <c r="E38" s="57"/>
      <c r="F38" s="58"/>
      <c r="G38" s="58"/>
      <c r="H38" s="58"/>
      <c r="I38" s="58"/>
      <c r="J38" s="58"/>
      <c r="K38" s="59"/>
      <c r="N38" s="5"/>
      <c r="O38" s="5"/>
    </row>
    <row r="39" spans="4:15" ht="14" thickBot="1" x14ac:dyDescent="0.2">
      <c r="D39" s="97" t="s">
        <v>79</v>
      </c>
      <c r="E39" s="98"/>
      <c r="F39" s="98"/>
      <c r="G39" s="98"/>
      <c r="H39" s="98"/>
      <c r="I39" s="97" t="s">
        <v>78</v>
      </c>
      <c r="J39" s="98"/>
      <c r="K39" s="99"/>
    </row>
    <row r="40" spans="4:15" ht="14" thickBot="1" x14ac:dyDescent="0.2">
      <c r="D40" s="6" t="s">
        <v>24</v>
      </c>
      <c r="E40" s="7" t="s">
        <v>25</v>
      </c>
      <c r="F40" s="54" t="s">
        <v>26</v>
      </c>
      <c r="G40" s="54" t="s">
        <v>27</v>
      </c>
      <c r="H40" s="78" t="s">
        <v>28</v>
      </c>
      <c r="I40" s="7" t="s">
        <v>60</v>
      </c>
      <c r="J40" s="7" t="s">
        <v>61</v>
      </c>
      <c r="K40" s="8" t="s">
        <v>62</v>
      </c>
      <c r="L40" t="s">
        <v>3</v>
      </c>
      <c r="M40" t="s">
        <v>4</v>
      </c>
      <c r="N40" t="s">
        <v>5</v>
      </c>
      <c r="O40" t="s">
        <v>6</v>
      </c>
    </row>
    <row r="41" spans="4:15" ht="17" customHeight="1" x14ac:dyDescent="0.15">
      <c r="D41" s="23"/>
      <c r="E41" s="66"/>
      <c r="F41" s="67"/>
      <c r="G41" s="67"/>
      <c r="H41" s="68"/>
      <c r="I41" s="67"/>
      <c r="J41" s="67"/>
      <c r="K41" s="68"/>
      <c r="L41" t="str">
        <f>IF(ISBLANK(D41),"",IF(D41&gt;1000,(D41-1000)/26+33.0847,(IF(D41&gt;600,(D41-600)/28+18.799,(IF(D41&gt;400,(D41-400)/30+12.1324,(IF(D41&gt;200,(D41-200)/32+5.8824,D41/34))))))))</f>
        <v/>
      </c>
      <c r="M41" t="str">
        <f t="shared" ref="M41:M50" si="4">IF(ISBLANK(D41),"",IF((D41=0),1,IF(D41&gt;=brevet,IF(brevet&gt;1200,(brevet-1200)*75/1000+90,Max_time),IF(D41&gt;1200,(D41-1200)*75/1000+90,IF(D41&gt;1000,(D41-1000)/(1000/75)+75,IF(D41&gt;600,(D41-600)/(400/35)+40,IF(D41&lt;=60,D41/20+1,D41/15)))))))</f>
        <v/>
      </c>
      <c r="N41" s="5" t="str">
        <f>IF(ISBLANK(D41),"",Open_time Control_1+(INT(L41)&amp;":"&amp;IF(ROUND(((L41-INT(L41))*60),0)&lt;10,0,"")&amp;ROUND(((L41-INT(L41))*60),0)))</f>
        <v/>
      </c>
      <c r="O41" s="5" t="str">
        <f>IF(ISBLANK(D41),"",Open_time Control_1+(INT(M41)&amp;":"&amp;IF(ROUND(((M41-INT(M41))*60),0)&lt;10,0,"")&amp;ROUND(((M41-INT(M41))*60),0)))</f>
        <v/>
      </c>
    </row>
    <row r="42" spans="4:15" ht="17" customHeight="1" x14ac:dyDescent="0.15">
      <c r="D42" s="23"/>
      <c r="E42" s="66"/>
      <c r="F42" s="67"/>
      <c r="G42" s="67"/>
      <c r="H42" s="68"/>
      <c r="I42" s="67"/>
      <c r="J42" s="67"/>
      <c r="K42" s="68"/>
      <c r="L42" t="str">
        <f t="shared" ref="L42:L50" si="5">IF(ISBLANK(D42),"",IF(D42&gt;1000,(D42-1000)/26+33.0847,(IF(D42&gt;600,(D42-600)/28+18.799,(IF(D42&gt;400,(D42-400)/30+12.1324,(IF(D42&gt;200,(D42-200)/32+5.8824,D42/34))))))))</f>
        <v/>
      </c>
      <c r="M42" t="str">
        <f t="shared" si="4"/>
        <v/>
      </c>
      <c r="N42" s="5" t="str">
        <f>IF(ISBLANK(D42),"",Open_time Control_1+(INT(L42)&amp;":"&amp;IF(ROUND(((L42-INT(L42))*60),0)&lt;10,0,"")&amp;ROUND(((L42-INT(L42))*60),0)))</f>
        <v/>
      </c>
      <c r="O42" s="5" t="str">
        <f>IF(ISBLANK(D42),"",Open_time Control_1+(INT(M42)&amp;":"&amp;IF(ROUND(((M42-INT(M42))*60),0)&lt;10,0,"")&amp;ROUND(((M42-INT(M42))*60),0)))</f>
        <v/>
      </c>
    </row>
    <row r="43" spans="4:15" ht="17" customHeight="1" x14ac:dyDescent="0.15">
      <c r="D43" s="23"/>
      <c r="E43" s="66"/>
      <c r="F43" s="67"/>
      <c r="G43" s="67"/>
      <c r="H43" s="68"/>
      <c r="I43" s="67"/>
      <c r="J43" s="67"/>
      <c r="K43" s="68"/>
      <c r="L43" t="str">
        <f t="shared" si="5"/>
        <v/>
      </c>
      <c r="M43" t="str">
        <f t="shared" si="4"/>
        <v/>
      </c>
      <c r="N43" s="5" t="str">
        <f>IF(ISBLANK(D43),"",Open_time Control_1+(INT(L43)&amp;":"&amp;IF(ROUND(((L43-INT(L43))*60),0)&lt;10,0,"")&amp;ROUND(((L43-INT(L43))*60),0)))</f>
        <v/>
      </c>
      <c r="O43" s="5" t="str">
        <f>IF(ISBLANK(D43),"",Open_time Control_1+(INT(M43)&amp;":"&amp;IF(ROUND(((M43-INT(M43))*60),0)&lt;10,0,"")&amp;ROUND(((M43-INT(M43))*60),0)))</f>
        <v/>
      </c>
    </row>
    <row r="44" spans="4:15" ht="17" customHeight="1" x14ac:dyDescent="0.15">
      <c r="D44" s="23"/>
      <c r="E44" s="66"/>
      <c r="F44" s="67"/>
      <c r="G44" s="67"/>
      <c r="H44" s="68"/>
      <c r="I44" s="67"/>
      <c r="J44" s="67"/>
      <c r="K44" s="68"/>
      <c r="L44" t="str">
        <f t="shared" si="5"/>
        <v/>
      </c>
      <c r="M44" t="str">
        <f t="shared" si="4"/>
        <v/>
      </c>
      <c r="N44" s="5" t="str">
        <f>IF(ISBLANK(D44),"",Open_time Control_1+(INT(L44)&amp;":"&amp;IF(ROUND(((L44-INT(L44))*60),0)&lt;10,0,"")&amp;ROUND(((L44-INT(L44))*60),0)))</f>
        <v/>
      </c>
      <c r="O44" s="5" t="str">
        <f>IF(ISBLANK(D44),"",Open_time Control_1+(INT(M44)&amp;":"&amp;IF(ROUND(((M44-INT(M44))*60),0)&lt;10,0,"")&amp;ROUND(((M44-INT(M44))*60),0)))</f>
        <v/>
      </c>
    </row>
    <row r="45" spans="4:15" ht="17" customHeight="1" x14ac:dyDescent="0.15">
      <c r="D45" s="23"/>
      <c r="E45" s="66"/>
      <c r="F45" s="67"/>
      <c r="G45" s="67"/>
      <c r="H45" s="68"/>
      <c r="I45" s="67"/>
      <c r="J45" s="67"/>
      <c r="K45" s="68"/>
      <c r="L45" t="str">
        <f t="shared" si="5"/>
        <v/>
      </c>
      <c r="M45" t="str">
        <f t="shared" si="4"/>
        <v/>
      </c>
      <c r="N45" s="5" t="str">
        <f>IF(ISBLANK(D45),"",Open_time Control_1+(INT(L45)&amp;":"&amp;IF(ROUND(((L45-INT(L45))*60),0)&lt;10,0,"")&amp;ROUND(((L45-INT(L45))*60),0)))</f>
        <v/>
      </c>
      <c r="O45" s="5" t="str">
        <f>IF(ISBLANK(D45),"",Open_time Control_1+(INT(M45)&amp;":"&amp;IF(ROUND(((M45-INT(M45))*60),0)&lt;10,0,"")&amp;ROUND(((M45-INT(M45))*60),0)))</f>
        <v/>
      </c>
    </row>
    <row r="46" spans="4:15" ht="17" customHeight="1" x14ac:dyDescent="0.15">
      <c r="D46" s="23"/>
      <c r="E46" s="66"/>
      <c r="F46" s="67"/>
      <c r="G46" s="67"/>
      <c r="H46" s="68"/>
      <c r="I46" s="67"/>
      <c r="J46" s="67"/>
      <c r="K46" s="68"/>
      <c r="L46" t="str">
        <f t="shared" si="5"/>
        <v/>
      </c>
      <c r="M46" t="str">
        <f t="shared" si="4"/>
        <v/>
      </c>
      <c r="N46" s="5" t="str">
        <f>IF(ISBLANK(D46),"",Open_time Control_1+(INT(L46)&amp;":"&amp;IF(ROUND(((L46-INT(L46))*60),0)&lt;10,0,"")&amp;ROUND(((L46-INT(L46))*60),0)))</f>
        <v/>
      </c>
      <c r="O46" s="5" t="str">
        <f>IF(ISBLANK(D46),"",Open_time Control_1+(INT(M46)&amp;":"&amp;IF(ROUND(((M46-INT(M46))*60),0)&lt;10,0,"")&amp;ROUND(((M46-INT(M46))*60),0)))</f>
        <v/>
      </c>
    </row>
    <row r="47" spans="4:15" ht="17" customHeight="1" x14ac:dyDescent="0.15">
      <c r="D47" s="23"/>
      <c r="E47" s="66"/>
      <c r="F47" s="67"/>
      <c r="G47" s="67"/>
      <c r="H47" s="68"/>
      <c r="I47" s="67"/>
      <c r="J47" s="67"/>
      <c r="K47" s="68"/>
      <c r="L47" t="str">
        <f t="shared" si="5"/>
        <v/>
      </c>
      <c r="M47" t="str">
        <f t="shared" si="4"/>
        <v/>
      </c>
      <c r="N47" s="5" t="str">
        <f>IF(ISBLANK(D47),"",Open_time Control_1+(INT(L47)&amp;":"&amp;IF(ROUND(((L47-INT(L47))*60),0)&lt;10,0,"")&amp;ROUND(((L47-INT(L47))*60),0)))</f>
        <v/>
      </c>
      <c r="O47" s="5" t="str">
        <f>IF(ISBLANK(D47),"",Open_time Control_1+(INT(M47)&amp;":"&amp;IF(ROUND(((M47-INT(M47))*60),0)&lt;10,0,"")&amp;ROUND(((M47-INT(M47))*60),0)))</f>
        <v/>
      </c>
    </row>
    <row r="48" spans="4:15" ht="17" customHeight="1" x14ac:dyDescent="0.15">
      <c r="D48" s="23"/>
      <c r="E48" s="66"/>
      <c r="F48" s="67"/>
      <c r="G48" s="67"/>
      <c r="H48" s="68"/>
      <c r="I48" s="67"/>
      <c r="J48" s="67"/>
      <c r="K48" s="68"/>
      <c r="L48" t="str">
        <f t="shared" si="5"/>
        <v/>
      </c>
      <c r="M48" t="str">
        <f t="shared" si="4"/>
        <v/>
      </c>
      <c r="N48" s="5" t="str">
        <f>IF(ISBLANK(D48),"",Open_time Control_1+(INT(L48)&amp;":"&amp;IF(ROUND(((L48-INT(L48))*60),0)&lt;10,0,"")&amp;ROUND(((L48-INT(L48))*60),0)))</f>
        <v/>
      </c>
      <c r="O48" s="5" t="str">
        <f>IF(ISBLANK(D48),"",Open_time Control_1+(INT(M48)&amp;":"&amp;IF(ROUND(((M48-INT(M48))*60),0)&lt;10,0,"")&amp;ROUND(((M48-INT(M48))*60),0)))</f>
        <v/>
      </c>
    </row>
    <row r="49" spans="4:15" ht="17" customHeight="1" x14ac:dyDescent="0.15">
      <c r="D49" s="23"/>
      <c r="E49" s="66"/>
      <c r="F49" s="67"/>
      <c r="G49" s="67"/>
      <c r="H49" s="68"/>
      <c r="I49" s="67"/>
      <c r="J49" s="67"/>
      <c r="K49" s="68"/>
      <c r="L49" t="str">
        <f t="shared" si="5"/>
        <v/>
      </c>
      <c r="M49" t="str">
        <f t="shared" si="4"/>
        <v/>
      </c>
      <c r="N49" s="5" t="str">
        <f>IF(ISBLANK(D49),"",Open_time Control_1+(INT(L49)&amp;":"&amp;IF(ROUND(((L49-INT(L49))*60),0)&lt;10,0,"")&amp;ROUND(((L49-INT(L49))*60),0)))</f>
        <v/>
      </c>
      <c r="O49" s="5" t="str">
        <f>IF(ISBLANK(D49),"",Open_time Control_1+(INT(M49)&amp;":"&amp;IF(ROUND(((M49-INT(M49))*60),0)&lt;10,0,"")&amp;ROUND(((M49-INT(M49))*60),0)))</f>
        <v/>
      </c>
    </row>
    <row r="50" spans="4:15" ht="17" customHeight="1" thickBot="1" x14ac:dyDescent="0.2">
      <c r="D50" s="47"/>
      <c r="E50" s="69"/>
      <c r="F50" s="70"/>
      <c r="G50" s="70"/>
      <c r="H50" s="71"/>
      <c r="I50" s="70"/>
      <c r="J50" s="70"/>
      <c r="K50" s="71"/>
      <c r="L50" t="str">
        <f t="shared" si="5"/>
        <v/>
      </c>
      <c r="M50" t="str">
        <f t="shared" si="4"/>
        <v/>
      </c>
      <c r="N50" s="5" t="str">
        <f>IF(ISBLANK(D50),"",Open_time Control_1+(INT(L50)&amp;":"&amp;IF(ROUND(((L50-INT(L50))*60),0)&lt;10,0,"")&amp;ROUND(((L50-INT(L50))*60),0)))</f>
        <v/>
      </c>
      <c r="O50" s="5" t="str">
        <f>IF(ISBLANK(D50),"",Open_time Control_1+(INT(M50)&amp;":"&amp;IF(ROUND(((M50-INT(M50))*60),0)&lt;10,0,"")&amp;ROUND(((M50-INT(M50))*60),0)))</f>
        <v/>
      </c>
    </row>
    <row r="51" spans="4:15" ht="7" customHeight="1" thickBot="1" x14ac:dyDescent="0.25">
      <c r="D51" s="56"/>
      <c r="E51" s="57"/>
      <c r="F51" s="58"/>
      <c r="G51" s="58"/>
      <c r="H51" s="58"/>
      <c r="I51" s="58"/>
      <c r="J51" s="58"/>
      <c r="K51" s="59"/>
      <c r="N51" s="5"/>
      <c r="O51" s="5"/>
    </row>
    <row r="52" spans="4:15" ht="14" thickBot="1" x14ac:dyDescent="0.2">
      <c r="D52" s="97" t="s">
        <v>87</v>
      </c>
      <c r="E52" s="98"/>
      <c r="F52" s="98"/>
      <c r="G52" s="98"/>
      <c r="H52" s="98"/>
      <c r="I52" s="97" t="s">
        <v>88</v>
      </c>
      <c r="J52" s="98"/>
      <c r="K52" s="99"/>
    </row>
    <row r="53" spans="4:15" ht="14" thickBot="1" x14ac:dyDescent="0.2">
      <c r="D53" s="6" t="s">
        <v>24</v>
      </c>
      <c r="E53" s="7" t="s">
        <v>25</v>
      </c>
      <c r="F53" s="54" t="s">
        <v>26</v>
      </c>
      <c r="G53" s="54" t="s">
        <v>27</v>
      </c>
      <c r="H53" s="78" t="s">
        <v>28</v>
      </c>
      <c r="I53" s="7" t="s">
        <v>60</v>
      </c>
      <c r="J53" s="7" t="s">
        <v>61</v>
      </c>
      <c r="K53" s="8" t="s">
        <v>62</v>
      </c>
      <c r="L53" t="s">
        <v>3</v>
      </c>
      <c r="M53" t="s">
        <v>4</v>
      </c>
      <c r="N53" t="s">
        <v>5</v>
      </c>
      <c r="O53" t="s">
        <v>6</v>
      </c>
    </row>
    <row r="54" spans="4:15" ht="17" customHeight="1" x14ac:dyDescent="0.15">
      <c r="D54" s="23"/>
      <c r="E54" s="66"/>
      <c r="F54" s="67"/>
      <c r="G54" s="67"/>
      <c r="H54" s="68"/>
      <c r="I54" s="67"/>
      <c r="J54" s="67"/>
      <c r="K54" s="68"/>
      <c r="L54" t="str">
        <f>IF(ISBLANK(D54),"",IF(D54&gt;1000,(D54-1000)/26+33.0847,(IF(D54&gt;600,(D54-600)/28+18.799,(IF(D54&gt;400,(D54-400)/30+12.1324,(IF(D54&gt;200,(D54-200)/32+5.8824,D54/34))))))))</f>
        <v/>
      </c>
      <c r="M54" t="str">
        <f t="shared" ref="M54:M63" si="6">IF(ISBLANK(D54),"",IF((D54=0),1,IF(D54&gt;=brevet,IF(brevet&gt;1200,(brevet-1200)*75/1000+90,Max_time),IF(D54&gt;1200,(D54-1200)*75/1000+90,IF(D54&gt;1000,(D54-1000)/(1000/75)+75,IF(D54&gt;600,(D54-600)/(400/35)+40,IF(D54&lt;=60,D54/20+1,D54/15)))))))</f>
        <v/>
      </c>
      <c r="N54" s="5" t="str">
        <f>IF(ISBLANK(D54),"",Open_time Control_1+(INT(L54)&amp;":"&amp;IF(ROUND(((L54-INT(L54))*60),0)&lt;10,0,"")&amp;ROUND(((L54-INT(L54))*60),0)))</f>
        <v/>
      </c>
      <c r="O54" s="5" t="str">
        <f>IF(ISBLANK(D54),"",Open_time Control_1+(INT(M54)&amp;":"&amp;IF(ROUND(((M54-INT(M54))*60),0)&lt;10,0,"")&amp;ROUND(((M54-INT(M54))*60),0)))</f>
        <v/>
      </c>
    </row>
    <row r="55" spans="4:15" ht="17" customHeight="1" x14ac:dyDescent="0.15">
      <c r="D55" s="23"/>
      <c r="E55" s="66"/>
      <c r="F55" s="67"/>
      <c r="G55" s="67"/>
      <c r="H55" s="68"/>
      <c r="I55" s="67"/>
      <c r="J55" s="67"/>
      <c r="K55" s="68"/>
      <c r="L55" t="str">
        <f t="shared" ref="L55:L63" si="7">IF(ISBLANK(D55),"",IF(D55&gt;1000,(D55-1000)/26+33.0847,(IF(D55&gt;600,(D55-600)/28+18.799,(IF(D55&gt;400,(D55-400)/30+12.1324,(IF(D55&gt;200,(D55-200)/32+5.8824,D55/34))))))))</f>
        <v/>
      </c>
      <c r="M55" t="str">
        <f t="shared" si="6"/>
        <v/>
      </c>
      <c r="N55" s="5" t="str">
        <f>IF(ISBLANK(D55),"",Open_time Control_1+(INT(L55)&amp;":"&amp;IF(ROUND(((L55-INT(L55))*60),0)&lt;10,0,"")&amp;ROUND(((L55-INT(L55))*60),0)))</f>
        <v/>
      </c>
      <c r="O55" s="5" t="str">
        <f>IF(ISBLANK(D55),"",Open_time Control_1+(INT(M55)&amp;":"&amp;IF(ROUND(((M55-INT(M55))*60),0)&lt;10,0,"")&amp;ROUND(((M55-INT(M55))*60),0)))</f>
        <v/>
      </c>
    </row>
    <row r="56" spans="4:15" ht="17" customHeight="1" x14ac:dyDescent="0.15">
      <c r="D56" s="23"/>
      <c r="E56" s="66"/>
      <c r="F56" s="67"/>
      <c r="G56" s="67"/>
      <c r="H56" s="68"/>
      <c r="I56" s="67"/>
      <c r="J56" s="67"/>
      <c r="K56" s="68"/>
      <c r="L56" t="str">
        <f t="shared" si="7"/>
        <v/>
      </c>
      <c r="M56" t="str">
        <f t="shared" si="6"/>
        <v/>
      </c>
      <c r="N56" s="5" t="str">
        <f>IF(ISBLANK(D56),"",Open_time Control_1+(INT(L56)&amp;":"&amp;IF(ROUND(((L56-INT(L56))*60),0)&lt;10,0,"")&amp;ROUND(((L56-INT(L56))*60),0)))</f>
        <v/>
      </c>
      <c r="O56" s="5" t="str">
        <f>IF(ISBLANK(D56),"",Open_time Control_1+(INT(M56)&amp;":"&amp;IF(ROUND(((M56-INT(M56))*60),0)&lt;10,0,"")&amp;ROUND(((M56-INT(M56))*60),0)))</f>
        <v/>
      </c>
    </row>
    <row r="57" spans="4:15" ht="17" customHeight="1" x14ac:dyDescent="0.15">
      <c r="D57" s="23"/>
      <c r="E57" s="66"/>
      <c r="F57" s="67"/>
      <c r="G57" s="67"/>
      <c r="H57" s="68"/>
      <c r="I57" s="67"/>
      <c r="J57" s="67"/>
      <c r="K57" s="68"/>
      <c r="L57" t="str">
        <f t="shared" si="7"/>
        <v/>
      </c>
      <c r="M57" t="str">
        <f t="shared" si="6"/>
        <v/>
      </c>
      <c r="N57" s="5" t="str">
        <f>IF(ISBLANK(D57),"",Open_time Control_1+(INT(L57)&amp;":"&amp;IF(ROUND(((L57-INT(L57))*60),0)&lt;10,0,"")&amp;ROUND(((L57-INT(L57))*60),0)))</f>
        <v/>
      </c>
      <c r="O57" s="5" t="str">
        <f>IF(ISBLANK(D57),"",Open_time Control_1+(INT(M57)&amp;":"&amp;IF(ROUND(((M57-INT(M57))*60),0)&lt;10,0,"")&amp;ROUND(((M57-INT(M57))*60),0)))</f>
        <v/>
      </c>
    </row>
    <row r="58" spans="4:15" ht="17" customHeight="1" x14ac:dyDescent="0.15">
      <c r="D58" s="23"/>
      <c r="E58" s="66"/>
      <c r="F58" s="67"/>
      <c r="G58" s="67"/>
      <c r="H58" s="68"/>
      <c r="I58" s="67"/>
      <c r="J58" s="67"/>
      <c r="K58" s="68"/>
      <c r="L58" t="str">
        <f t="shared" si="7"/>
        <v/>
      </c>
      <c r="M58" t="str">
        <f t="shared" si="6"/>
        <v/>
      </c>
      <c r="N58" s="5" t="str">
        <f>IF(ISBLANK(D58),"",Open_time Control_1+(INT(L58)&amp;":"&amp;IF(ROUND(((L58-INT(L58))*60),0)&lt;10,0,"")&amp;ROUND(((L58-INT(L58))*60),0)))</f>
        <v/>
      </c>
      <c r="O58" s="5" t="str">
        <f>IF(ISBLANK(D58),"",Open_time Control_1+(INT(M58)&amp;":"&amp;IF(ROUND(((M58-INT(M58))*60),0)&lt;10,0,"")&amp;ROUND(((M58-INT(M58))*60),0)))</f>
        <v/>
      </c>
    </row>
    <row r="59" spans="4:15" ht="17" customHeight="1" x14ac:dyDescent="0.15">
      <c r="D59" s="23"/>
      <c r="E59" s="66"/>
      <c r="F59" s="67"/>
      <c r="G59" s="67"/>
      <c r="H59" s="68"/>
      <c r="I59" s="67"/>
      <c r="J59" s="67"/>
      <c r="K59" s="68"/>
      <c r="L59" t="str">
        <f t="shared" si="7"/>
        <v/>
      </c>
      <c r="M59" t="str">
        <f t="shared" si="6"/>
        <v/>
      </c>
      <c r="N59" s="5" t="str">
        <f>IF(ISBLANK(D59),"",Open_time Control_1+(INT(L59)&amp;":"&amp;IF(ROUND(((L59-INT(L59))*60),0)&lt;10,0,"")&amp;ROUND(((L59-INT(L59))*60),0)))</f>
        <v/>
      </c>
      <c r="O59" s="5" t="str">
        <f>IF(ISBLANK(D59),"",Open_time Control_1+(INT(M59)&amp;":"&amp;IF(ROUND(((M59-INT(M59))*60),0)&lt;10,0,"")&amp;ROUND(((M59-INT(M59))*60),0)))</f>
        <v/>
      </c>
    </row>
    <row r="60" spans="4:15" ht="17" customHeight="1" x14ac:dyDescent="0.15">
      <c r="D60" s="23"/>
      <c r="E60" s="66"/>
      <c r="F60" s="67"/>
      <c r="G60" s="67"/>
      <c r="H60" s="68"/>
      <c r="I60" s="67"/>
      <c r="J60" s="67"/>
      <c r="K60" s="68"/>
      <c r="L60" t="str">
        <f t="shared" si="7"/>
        <v/>
      </c>
      <c r="M60" t="str">
        <f t="shared" si="6"/>
        <v/>
      </c>
      <c r="N60" s="5" t="str">
        <f>IF(ISBLANK(D60),"",Open_time Control_1+(INT(L60)&amp;":"&amp;IF(ROUND(((L60-INT(L60))*60),0)&lt;10,0,"")&amp;ROUND(((L60-INT(L60))*60),0)))</f>
        <v/>
      </c>
      <c r="O60" s="5" t="str">
        <f>IF(ISBLANK(D60),"",Open_time Control_1+(INT(M60)&amp;":"&amp;IF(ROUND(((M60-INT(M60))*60),0)&lt;10,0,"")&amp;ROUND(((M60-INT(M60))*60),0)))</f>
        <v/>
      </c>
    </row>
    <row r="61" spans="4:15" ht="17" customHeight="1" x14ac:dyDescent="0.15">
      <c r="D61" s="23"/>
      <c r="E61" s="66"/>
      <c r="F61" s="67"/>
      <c r="G61" s="67"/>
      <c r="H61" s="68"/>
      <c r="I61" s="67"/>
      <c r="J61" s="67"/>
      <c r="K61" s="68"/>
      <c r="L61" t="str">
        <f t="shared" si="7"/>
        <v/>
      </c>
      <c r="M61" t="str">
        <f t="shared" si="6"/>
        <v/>
      </c>
      <c r="N61" s="5" t="str">
        <f>IF(ISBLANK(D61),"",Open_time Control_1+(INT(L61)&amp;":"&amp;IF(ROUND(((L61-INT(L61))*60),0)&lt;10,0,"")&amp;ROUND(((L61-INT(L61))*60),0)))</f>
        <v/>
      </c>
      <c r="O61" s="5" t="str">
        <f>IF(ISBLANK(D61),"",Open_time Control_1+(INT(M61)&amp;":"&amp;IF(ROUND(((M61-INT(M61))*60),0)&lt;10,0,"")&amp;ROUND(((M61-INT(M61))*60),0)))</f>
        <v/>
      </c>
    </row>
    <row r="62" spans="4:15" ht="17" customHeight="1" x14ac:dyDescent="0.15">
      <c r="D62" s="23"/>
      <c r="E62" s="66"/>
      <c r="F62" s="67"/>
      <c r="G62" s="67"/>
      <c r="H62" s="68"/>
      <c r="I62" s="67"/>
      <c r="J62" s="67"/>
      <c r="K62" s="68"/>
      <c r="L62" t="str">
        <f t="shared" si="7"/>
        <v/>
      </c>
      <c r="M62" t="str">
        <f t="shared" si="6"/>
        <v/>
      </c>
      <c r="N62" s="5" t="str">
        <f>IF(ISBLANK(D62),"",Open_time Control_1+(INT(L62)&amp;":"&amp;IF(ROUND(((L62-INT(L62))*60),0)&lt;10,0,"")&amp;ROUND(((L62-INT(L62))*60),0)))</f>
        <v/>
      </c>
      <c r="O62" s="5" t="str">
        <f>IF(ISBLANK(D62),"",Open_time Control_1+(INT(M62)&amp;":"&amp;IF(ROUND(((M62-INT(M62))*60),0)&lt;10,0,"")&amp;ROUND(((M62-INT(M62))*60),0)))</f>
        <v/>
      </c>
    </row>
    <row r="63" spans="4:15" ht="17" customHeight="1" thickBot="1" x14ac:dyDescent="0.2">
      <c r="D63" s="47"/>
      <c r="E63" s="69"/>
      <c r="F63" s="70"/>
      <c r="G63" s="70"/>
      <c r="H63" s="71"/>
      <c r="I63" s="70"/>
      <c r="J63" s="70"/>
      <c r="K63" s="71"/>
      <c r="L63" t="str">
        <f t="shared" si="7"/>
        <v/>
      </c>
      <c r="M63" t="str">
        <f t="shared" si="6"/>
        <v/>
      </c>
      <c r="N63" s="5" t="str">
        <f>IF(ISBLANK(D63),"",Open_time Control_1+(INT(L63)&amp;":"&amp;IF(ROUND(((L63-INT(L63))*60),0)&lt;10,0,"")&amp;ROUND(((L63-INT(L63))*60),0)))</f>
        <v/>
      </c>
      <c r="O63" s="5" t="str">
        <f>IF(ISBLANK(D63),"",Open_time Control_1+(INT(M63)&amp;":"&amp;IF(ROUND(((M63-INT(M63))*60),0)&lt;10,0,"")&amp;ROUND(((M63-INT(M63))*60),0)))</f>
        <v/>
      </c>
    </row>
  </sheetData>
  <sheetProtection algorithmName="SHA-512" hashValue="sz3elNu4T2SGt0gr11IEu+otL/qDj0+cRQOg5grO+EMS3cvX9jEYQhKlOsnmaW3CfXHAQH4v3+PlV9k/s7BEdw==" saltValue="kLgQi0wha9upuDMg+a1WEA==" spinCount="100000" sheet="1" objects="1" scenarios="1" formatCells="0" selectLockedCells="1"/>
  <mergeCells count="12">
    <mergeCell ref="D52:H52"/>
    <mergeCell ref="I52:K52"/>
    <mergeCell ref="Q1:Z5"/>
    <mergeCell ref="A1:H1"/>
    <mergeCell ref="B8:H8"/>
    <mergeCell ref="D39:H39"/>
    <mergeCell ref="I39:K39"/>
    <mergeCell ref="J6:K6"/>
    <mergeCell ref="D13:H13"/>
    <mergeCell ref="D26:H26"/>
    <mergeCell ref="I13:K13"/>
    <mergeCell ref="I26:K26"/>
  </mergeCells>
  <phoneticPr fontId="16"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40"/>
  <sheetViews>
    <sheetView showGridLines="0" tabSelected="1" zoomScaleNormal="100" zoomScalePageLayoutView="92" workbookViewId="0">
      <selection activeCell="L8" sqref="L8:Q8"/>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customWidth="1"/>
    <col min="9" max="9" width="12" customWidth="1"/>
    <col min="18" max="19" width="8.83203125" customWidth="1"/>
  </cols>
  <sheetData>
    <row r="1" spans="1:22" ht="21" thickBot="1" x14ac:dyDescent="0.2">
      <c r="A1" s="122" t="s">
        <v>80</v>
      </c>
      <c r="B1" s="122"/>
      <c r="C1" s="122"/>
      <c r="D1" s="122"/>
      <c r="E1" s="122"/>
      <c r="F1" s="122"/>
      <c r="G1" s="122"/>
      <c r="H1" s="24" t="s">
        <v>29</v>
      </c>
    </row>
    <row r="2" spans="1:22" ht="33.75" customHeight="1" thickBot="1" x14ac:dyDescent="0.25">
      <c r="A2" s="65" t="s">
        <v>30</v>
      </c>
      <c r="B2" s="9" t="s">
        <v>3</v>
      </c>
      <c r="C2" s="9" t="s">
        <v>4</v>
      </c>
      <c r="D2" s="9" t="s">
        <v>25</v>
      </c>
      <c r="E2" s="9" t="s">
        <v>31</v>
      </c>
      <c r="F2" s="9" t="s">
        <v>59</v>
      </c>
      <c r="G2" s="65" t="s">
        <v>32</v>
      </c>
      <c r="H2" s="24" t="s">
        <v>29</v>
      </c>
      <c r="K2" s="126" t="s">
        <v>55</v>
      </c>
      <c r="L2" s="126"/>
      <c r="M2" s="126"/>
      <c r="N2" s="126"/>
      <c r="O2" s="126"/>
      <c r="P2" s="126"/>
      <c r="Q2" s="126"/>
      <c r="R2" s="126"/>
      <c r="S2" s="126"/>
      <c r="T2" s="126"/>
      <c r="U2" s="126"/>
    </row>
    <row r="3" spans="1:22" ht="36" customHeight="1" x14ac:dyDescent="0.45">
      <c r="A3" s="25"/>
      <c r="B3" s="26">
        <f>Control_1 Open_time</f>
        <v>0</v>
      </c>
      <c r="C3" s="26">
        <f>Control_1 Close_time</f>
        <v>4.1666666666666664E-2</v>
      </c>
      <c r="D3" s="27"/>
      <c r="E3" s="28" t="str">
        <f>IF(ISBLANK(Control_1 Establishment_1),"",Control_1 Establishment_1)</f>
        <v>STAFFED</v>
      </c>
      <c r="F3" s="84" t="str">
        <f>IF(ISBLANK('Control Entry'!I15),"",'Control Entry'!I15)</f>
        <v/>
      </c>
      <c r="G3" s="85"/>
      <c r="H3" s="24" t="s">
        <v>29</v>
      </c>
      <c r="K3" s="14"/>
      <c r="O3" s="111" t="s">
        <v>33</v>
      </c>
      <c r="P3" s="111"/>
      <c r="Q3" s="111"/>
      <c r="R3" s="111"/>
      <c r="S3" s="75" t="str">
        <f>IF('Control Entry'!D28=0,"","#1")</f>
        <v>#1</v>
      </c>
      <c r="U3" s="38"/>
    </row>
    <row r="4" spans="1:22" ht="36" customHeight="1" x14ac:dyDescent="0.2">
      <c r="A4" s="34">
        <f>IF(ISBLANK(Distance Control_1),"",Control_1 Distance)</f>
        <v>0</v>
      </c>
      <c r="B4" s="35">
        <f>Control_1 Open_time</f>
        <v>0</v>
      </c>
      <c r="C4" s="35">
        <f>Control_1 Close_time</f>
        <v>4.1666666666666664E-2</v>
      </c>
      <c r="D4" s="36" t="str">
        <f>IF(ISBLANK(Locale Control_1),"",Locale Control_1)</f>
        <v>VICTORIA</v>
      </c>
      <c r="E4" s="28" t="str">
        <f>IF(ISBLANK(Control_1 Establishment_2),"",Control_1 Establishment_2)</f>
        <v>BC Indians War Memorial</v>
      </c>
      <c r="F4" s="84" t="str">
        <f>IF(ISBLANK('Control Entry'!J15),"",'Control Entry'!J15)</f>
        <v/>
      </c>
      <c r="G4" s="85"/>
      <c r="H4" s="24" t="s">
        <v>29</v>
      </c>
      <c r="K4" s="14"/>
      <c r="M4" s="108" t="str">
        <f>IF(ISBLANK(brevet),"",brevet&amp;" km Randonnée")</f>
        <v>200 km Randonnée</v>
      </c>
      <c r="N4" s="108"/>
      <c r="O4" s="108"/>
      <c r="P4" s="108"/>
      <c r="Q4" s="108"/>
      <c r="R4" s="108"/>
      <c r="S4" s="108"/>
      <c r="T4" s="108"/>
      <c r="U4" s="39"/>
    </row>
    <row r="5" spans="1:22" ht="36" customHeight="1" thickBot="1" x14ac:dyDescent="0.25">
      <c r="A5" s="29"/>
      <c r="B5" s="30">
        <f>Control_1 Open_time</f>
        <v>0</v>
      </c>
      <c r="C5" s="30">
        <f>Control_1 Close_time</f>
        <v>4.1666666666666664E-2</v>
      </c>
      <c r="D5" s="31"/>
      <c r="E5" s="32" t="str">
        <f>IF(ISBLANK(Control_1 Establishment_3),"",Control_1 Establishment_3)</f>
        <v>Beacon Hill Park</v>
      </c>
      <c r="F5" s="88" t="str">
        <f>IF(ISBLANK('Control Entry'!K15),"",'Control Entry'!K15)</f>
        <v/>
      </c>
      <c r="G5" s="87"/>
      <c r="H5" s="24" t="s">
        <v>29</v>
      </c>
      <c r="K5" s="14"/>
      <c r="M5" s="15"/>
      <c r="N5" s="107" t="s">
        <v>47</v>
      </c>
      <c r="O5" s="107"/>
      <c r="P5" s="52">
        <f>IF(ISBLANK(Brevet_Number),"",Brevet_Number)</f>
        <v>5236</v>
      </c>
      <c r="Q5" s="53"/>
      <c r="R5" s="125" t="str">
        <f>IF(ISBLANK('Control Entry'!$B10),"",'Control Entry'!$B10)</f>
        <v/>
      </c>
      <c r="S5" s="125"/>
      <c r="T5" s="125"/>
      <c r="U5" s="125"/>
      <c r="V5" s="40"/>
    </row>
    <row r="6" spans="1:22" ht="36" customHeight="1" x14ac:dyDescent="0.2">
      <c r="A6" s="25"/>
      <c r="B6" s="26">
        <f>Control_2 Open_time</f>
        <v>2.9861111111111113E-2</v>
      </c>
      <c r="C6" s="26">
        <f>Control_2 Close_time</f>
        <v>9.3055555555555558E-2</v>
      </c>
      <c r="D6" s="33"/>
      <c r="E6" s="28" t="str">
        <f>IF(ISBLANK(Control_2 Establishment_1),"",Control_2 Establishment_1)</f>
        <v>INFORMATION</v>
      </c>
      <c r="F6" s="84" t="str">
        <f>IF(ISBLANK('Control Entry'!I16),"",'Control Entry'!I16)</f>
        <v xml:space="preserve">Sign on right: Lot 12 is </v>
      </c>
      <c r="G6" s="85"/>
      <c r="H6" s="24" t="s">
        <v>29</v>
      </c>
      <c r="K6" s="14"/>
      <c r="L6" s="114" t="str">
        <f>IF(ISBLANK(Brevet_Description),"",Brevet_Description)</f>
        <v>Permanent #232: VI Remembrance Day 2022</v>
      </c>
      <c r="M6" s="114"/>
      <c r="N6" s="114"/>
      <c r="O6" s="114"/>
      <c r="P6" s="114"/>
      <c r="Q6" s="114"/>
      <c r="R6" s="114"/>
      <c r="S6" s="114"/>
      <c r="T6" s="114"/>
      <c r="U6" s="114"/>
    </row>
    <row r="7" spans="1:22" ht="36" customHeight="1" x14ac:dyDescent="0.2">
      <c r="A7" s="34">
        <f>IF(ISBLANK(Distance Control_2),"",Control_2 Distance)</f>
        <v>24.5</v>
      </c>
      <c r="B7" s="35">
        <f>Control_2 Open_time</f>
        <v>2.9861111111111113E-2</v>
      </c>
      <c r="C7" s="35">
        <f>Control_2 Close_time</f>
        <v>9.3055555555555558E-2</v>
      </c>
      <c r="D7" s="36" t="str">
        <f>IF(ISBLANK(Locale Control_2),"",Locale Control_2)</f>
        <v xml:space="preserve">SAANICH </v>
      </c>
      <c r="E7" s="48" t="str">
        <f>IF(ISBLANK(Control_2 Establishment_2),"",Control_2 Establishment_2)</f>
        <v>Historical marker</v>
      </c>
      <c r="F7" s="86" t="str">
        <f>IF(ISBLANK('Control Entry'!J16),"",'Control Entry'!J16)</f>
        <v>The ______Residence</v>
      </c>
      <c r="G7" s="85"/>
      <c r="H7" s="24" t="s">
        <v>29</v>
      </c>
      <c r="J7" s="74"/>
      <c r="L7" s="74"/>
    </row>
    <row r="8" spans="1:22" ht="36" customHeight="1" thickBot="1" x14ac:dyDescent="0.25">
      <c r="A8" s="29"/>
      <c r="B8" s="30">
        <f>Control_2 Open_time</f>
        <v>2.9861111111111113E-2</v>
      </c>
      <c r="C8" s="30">
        <f>Control_2 Close_time</f>
        <v>9.3055555555555558E-2</v>
      </c>
      <c r="D8" s="31"/>
      <c r="E8" s="73" t="str">
        <f>IF(ISBLANK(Control_2 Establishment_3),"",Control_2 Establishment_3)</f>
        <v>Falaise Park</v>
      </c>
      <c r="F8" s="88" t="str">
        <f>IF(ISBLANK('Control Entry'!K16),"",'Control Entry'!K16)</f>
        <v/>
      </c>
      <c r="G8" s="87"/>
      <c r="H8" s="24" t="s">
        <v>29</v>
      </c>
      <c r="J8" s="15" t="s">
        <v>34</v>
      </c>
      <c r="L8" s="127"/>
      <c r="M8" s="127"/>
      <c r="N8" s="127"/>
      <c r="O8" s="127"/>
      <c r="P8" s="127"/>
      <c r="Q8" s="127"/>
      <c r="S8" s="41" t="s">
        <v>46</v>
      </c>
      <c r="T8" s="134"/>
      <c r="U8" s="134"/>
    </row>
    <row r="9" spans="1:22" ht="36" customHeight="1" thickBot="1" x14ac:dyDescent="0.3">
      <c r="A9" s="25"/>
      <c r="B9" s="26">
        <f>Control_3 Open_time</f>
        <v>4.7222222222222221E-2</v>
      </c>
      <c r="C9" s="26">
        <f>Control_3 Close_time</f>
        <v>0.12152777777777778</v>
      </c>
      <c r="D9" s="33"/>
      <c r="E9" s="28" t="str">
        <f>IF(ISBLANK(Control_3 Establishment_1),"",Control_3 Establishment_1)</f>
        <v>INFORMATION</v>
      </c>
      <c r="F9" s="84" t="str">
        <f>IF(ISBLANK('Control Entry'!I17),"",'Control Entry'!I17)</f>
        <v>On Stone house at #300</v>
      </c>
      <c r="G9" s="85"/>
      <c r="H9" s="24" t="s">
        <v>29</v>
      </c>
      <c r="J9" s="15" t="s">
        <v>35</v>
      </c>
      <c r="K9" s="15"/>
      <c r="L9" s="116" t="s">
        <v>54</v>
      </c>
      <c r="M9" s="116"/>
      <c r="N9" s="116"/>
      <c r="O9" s="116"/>
      <c r="P9" s="116"/>
      <c r="Q9" s="116"/>
      <c r="R9" s="116"/>
      <c r="S9" s="116"/>
      <c r="T9" s="116"/>
      <c r="U9" s="116"/>
    </row>
    <row r="10" spans="1:22" ht="36" customHeight="1" thickBot="1" x14ac:dyDescent="0.3">
      <c r="A10" s="34">
        <f>IF(ISBLANK(Distance Control_3),"",Control_3 Distance)</f>
        <v>38.4</v>
      </c>
      <c r="B10" s="35">
        <f>Control_3 Open_time</f>
        <v>4.7222222222222221E-2</v>
      </c>
      <c r="C10" s="35">
        <f>Control_3 Close_time</f>
        <v>0.12152777777777778</v>
      </c>
      <c r="D10" s="36" t="str">
        <f>IF(ISBLANK(Locale Control_3),"",Locale Control_3)</f>
        <v>ESQUIMALT</v>
      </c>
      <c r="E10" s="28" t="str">
        <f>IF(ISBLANK(Control_3 Establishment_2),"",Control_3 Establishment_2)</f>
        <v>DND Stone House</v>
      </c>
      <c r="F10" s="86" t="str">
        <f>IF(ISBLANK('Control Entry'!J17),"",'Control Entry'!J17)</f>
        <v>Number of window panes to the left of the door</v>
      </c>
      <c r="G10" s="85"/>
      <c r="H10" s="24" t="s">
        <v>29</v>
      </c>
      <c r="J10" s="15"/>
      <c r="K10" s="15"/>
      <c r="L10" s="117"/>
      <c r="M10" s="117"/>
      <c r="N10" s="117"/>
      <c r="O10" s="117"/>
      <c r="P10" s="117"/>
      <c r="Q10" s="117"/>
      <c r="R10" s="117"/>
      <c r="S10" s="117"/>
      <c r="T10" s="117"/>
      <c r="U10" s="117"/>
    </row>
    <row r="11" spans="1:22" ht="36" customHeight="1" thickBot="1" x14ac:dyDescent="0.3">
      <c r="A11" s="29"/>
      <c r="B11" s="30">
        <f>Control_3 Open_time</f>
        <v>4.7222222222222221E-2</v>
      </c>
      <c r="C11" s="30">
        <f>Control_3 Close_time</f>
        <v>0.12152777777777778</v>
      </c>
      <c r="D11" s="31"/>
      <c r="E11" s="32" t="str">
        <f>IF(ISBLANK(Control_3 Establishment_3),"",Control_3 Establishment_3)</f>
        <v>300 Victoria View Rd</v>
      </c>
      <c r="F11" s="88" t="str">
        <f>IF(ISBLANK('Control Entry'!K17),"",'Control Entry'!K17)</f>
        <v>___</v>
      </c>
      <c r="G11" s="87"/>
      <c r="H11" s="24" t="s">
        <v>29</v>
      </c>
      <c r="J11" s="15" t="s">
        <v>36</v>
      </c>
      <c r="K11" s="15"/>
      <c r="L11" s="117"/>
      <c r="M11" s="117"/>
      <c r="N11" s="117"/>
      <c r="O11" s="15"/>
      <c r="P11" s="15" t="s">
        <v>37</v>
      </c>
      <c r="Q11" s="15"/>
      <c r="R11" s="15"/>
      <c r="S11" s="121"/>
      <c r="T11" s="121"/>
      <c r="U11" s="121"/>
    </row>
    <row r="12" spans="1:22" ht="36" customHeight="1" thickBot="1" x14ac:dyDescent="0.3">
      <c r="A12" s="25"/>
      <c r="B12" s="26">
        <f>Control_4 Open_time</f>
        <v>5.2083333333333336E-2</v>
      </c>
      <c r="C12" s="26">
        <f>Control_4 Close_time</f>
        <v>0.13055555555555556</v>
      </c>
      <c r="D12" s="33"/>
      <c r="E12" s="28" t="str">
        <f>IF(ISBLANK(Control_4 Establishment_1),"",Control_4 Establishment_1)</f>
        <v>INFORMATION</v>
      </c>
      <c r="F12" s="84" t="str">
        <f>IF(ISBLANK('Control Entry'!I18),"",'Control Entry'!I18)</f>
        <v xml:space="preserve">Sign above Chapel </v>
      </c>
      <c r="G12" s="85"/>
      <c r="H12" s="24" t="s">
        <v>29</v>
      </c>
      <c r="J12" s="15" t="s">
        <v>38</v>
      </c>
      <c r="K12" s="15"/>
      <c r="L12" s="117"/>
      <c r="M12" s="117"/>
      <c r="N12" s="117"/>
      <c r="O12" s="15"/>
      <c r="P12" s="15" t="s">
        <v>39</v>
      </c>
      <c r="Q12" s="15"/>
      <c r="R12" s="15"/>
      <c r="S12" s="121"/>
      <c r="T12" s="121"/>
      <c r="U12" s="121"/>
    </row>
    <row r="13" spans="1:22" ht="36" customHeight="1" thickBot="1" x14ac:dyDescent="0.3">
      <c r="A13" s="34">
        <f>IF(ISBLANK(Distance Control_4),"",Control_4 Distance)</f>
        <v>42.7</v>
      </c>
      <c r="B13" s="35">
        <f>Control_4 Open_time</f>
        <v>5.2083333333333336E-2</v>
      </c>
      <c r="C13" s="35">
        <f>Control_4 Close_time</f>
        <v>0.13055555555555556</v>
      </c>
      <c r="D13" s="36" t="str">
        <f>IF(ISBLANK(Locale Control_4),"",Locale Control_4)</f>
        <v>ESQUIMALT</v>
      </c>
      <c r="E13" s="28" t="str">
        <f>IF(ISBLANK(Control_4 Establishment_2),"",Control_4 Establishment_2)</f>
        <v>God's Acre Cemetary</v>
      </c>
      <c r="F13" s="86" t="str">
        <f>IF(ISBLANK('Control Entry'!J18),"",'Control Entry'!J18)</f>
        <v>Consecrated  July 18__</v>
      </c>
      <c r="G13" s="85"/>
      <c r="H13" s="24" t="s">
        <v>29</v>
      </c>
      <c r="J13" s="15" t="s">
        <v>40</v>
      </c>
      <c r="L13" s="120"/>
      <c r="M13" s="120"/>
      <c r="N13" s="120"/>
      <c r="P13" s="15" t="s">
        <v>41</v>
      </c>
      <c r="Q13" s="15"/>
      <c r="R13" s="124"/>
      <c r="S13" s="124"/>
      <c r="T13" s="124"/>
      <c r="U13" s="124"/>
    </row>
    <row r="14" spans="1:22" ht="36" customHeight="1" thickBot="1" x14ac:dyDescent="0.25">
      <c r="A14" s="29"/>
      <c r="B14" s="30">
        <f>Control_4 Open_time</f>
        <v>5.2083333333333336E-2</v>
      </c>
      <c r="C14" s="30">
        <f>Control_4 Close_time</f>
        <v>0.13055555555555556</v>
      </c>
      <c r="D14" s="31"/>
      <c r="E14" s="32" t="str">
        <f>IF(ISBLANK(Control_4 Establishment_3),"",Control_4 Establishment_3)</f>
        <v>Veteran's Dr</v>
      </c>
      <c r="F14" s="88" t="str">
        <f>IF(ISBLANK('Control Entry'!K18),"",'Control Entry'!K18)</f>
        <v/>
      </c>
      <c r="G14" s="87"/>
      <c r="H14" s="24" t="s">
        <v>29</v>
      </c>
    </row>
    <row r="15" spans="1:22" ht="36" customHeight="1" x14ac:dyDescent="0.2">
      <c r="A15" s="25"/>
      <c r="B15" s="26">
        <f>Control_5 Open_time</f>
        <v>6.458333333333334E-2</v>
      </c>
      <c r="C15" s="26">
        <f>Control_5 Close_time</f>
        <v>0.15138888888888888</v>
      </c>
      <c r="D15" s="33"/>
      <c r="E15" s="28" t="str">
        <f>IF(ISBLANK(Control_5 Establishment_1),"",Control_5 Establishment_1)</f>
        <v>INFORMATION</v>
      </c>
      <c r="F15" s="84" t="str">
        <f>IF(ISBLANK('Control Entry'!I19),"",'Control Entry'!I19)</f>
        <v xml:space="preserve">Plaque at foot of Statue </v>
      </c>
      <c r="G15" s="85"/>
      <c r="H15" s="24" t="s">
        <v>29</v>
      </c>
      <c r="J15" s="15"/>
      <c r="L15" s="113" t="s">
        <v>58</v>
      </c>
      <c r="M15" s="113"/>
      <c r="N15" s="113"/>
      <c r="O15" s="113"/>
      <c r="P15" s="113"/>
      <c r="Q15" s="113"/>
      <c r="R15" s="113"/>
      <c r="S15" s="113"/>
      <c r="T15" s="113"/>
      <c r="U15" s="113"/>
    </row>
    <row r="16" spans="1:22" ht="36" customHeight="1" thickBot="1" x14ac:dyDescent="0.25">
      <c r="A16" s="34">
        <f>IF(ISBLANK(Distance Control_5),"",Control_5 Distance)</f>
        <v>52.5</v>
      </c>
      <c r="B16" s="35">
        <f>Control_5 Open_time</f>
        <v>6.458333333333334E-2</v>
      </c>
      <c r="C16" s="35">
        <f>Control_5 Close_time</f>
        <v>0.15138888888888888</v>
      </c>
      <c r="D16" s="36" t="str">
        <f>IF(ISBLANK(Locale Control_5),"",Locale Control_5)</f>
        <v>LANGFORD</v>
      </c>
      <c r="E16" s="28" t="str">
        <f>IF(ISBLANK(Control_5 Establishment_2),"",Control_5 Establishment_2)</f>
        <v>Veterans Memorial Park</v>
      </c>
      <c r="F16" s="84" t="str">
        <f>IF(ISBLANK('Control Entry'!J19),"",'Control Entry'!J19)</f>
        <v>Erected October __, 2001</v>
      </c>
      <c r="G16" s="85"/>
      <c r="H16" s="24" t="s">
        <v>29</v>
      </c>
      <c r="L16" s="118"/>
      <c r="M16" s="118"/>
      <c r="N16" s="118"/>
      <c r="O16" s="118"/>
      <c r="P16" s="118"/>
      <c r="Q16" s="118"/>
      <c r="R16" s="118"/>
      <c r="S16" s="118"/>
      <c r="T16" s="118"/>
      <c r="U16" s="118"/>
    </row>
    <row r="17" spans="1:22" ht="36" customHeight="1" thickBot="1" x14ac:dyDescent="0.25">
      <c r="A17" s="29"/>
      <c r="B17" s="30">
        <f>Control_5 Open_time</f>
        <v>6.458333333333334E-2</v>
      </c>
      <c r="C17" s="30">
        <f>Control_5 Close_time</f>
        <v>0.15138888888888888</v>
      </c>
      <c r="D17" s="31"/>
      <c r="E17" s="32" t="str">
        <f>IF(ISBLANK(Control_5 Establishment_3),"",Control_5 Establishment_3)</f>
        <v>Aldwyn Rd</v>
      </c>
      <c r="F17" s="88" t="str">
        <f>IF(ISBLANK('Control Entry'!K19),"",'Control Entry'!K19)</f>
        <v/>
      </c>
      <c r="G17" s="87"/>
      <c r="H17" s="24" t="s">
        <v>29</v>
      </c>
    </row>
    <row r="18" spans="1:22" ht="36" customHeight="1" x14ac:dyDescent="0.2">
      <c r="A18" s="25"/>
      <c r="B18" s="26">
        <f>Control_6 Open_time</f>
        <v>8.4722222222222213E-2</v>
      </c>
      <c r="C18" s="26">
        <f>Control_6 Close_time</f>
        <v>0.19236111111111112</v>
      </c>
      <c r="D18" s="33"/>
      <c r="E18" s="28" t="str">
        <f>IF(ISBLANK(Control_6 Establishment_1),"",Control_6 Establishment_1)</f>
        <v>INFORMATION</v>
      </c>
      <c r="F18" s="84" t="str">
        <f>IF(ISBLANK('Control Entry'!I20),"",'Control Entry'!I20)</f>
        <v xml:space="preserve">On Sign on Fence </v>
      </c>
      <c r="G18" s="85"/>
      <c r="H18" s="24" t="s">
        <v>29</v>
      </c>
    </row>
    <row r="19" spans="1:22" ht="36" customHeight="1" x14ac:dyDescent="0.2">
      <c r="A19" s="34">
        <f>IF(ISBLANK(Distance Control_6),"",Control_6 Distance)</f>
        <v>69.3</v>
      </c>
      <c r="B19" s="35">
        <f>Control_6 Open_time</f>
        <v>8.4722222222222213E-2</v>
      </c>
      <c r="C19" s="35">
        <f>Control_6 Close_time</f>
        <v>0.19236111111111112</v>
      </c>
      <c r="D19" s="36" t="str">
        <f>IF(ISBLANK(Locale Control_6),"",Locale Control_6)</f>
        <v>METCHOSIN</v>
      </c>
      <c r="E19" s="28" t="str">
        <f>IF(ISBLANK(Control_6 Establishment_2),"",Control_6 Establishment_2)</f>
        <v>Cadet Training Centre</v>
      </c>
      <c r="F19" s="86" t="str">
        <f>IF(ISBLANK('Control Entry'!J20),"",'Control Entry'!J20)</f>
        <v>By order of ___</v>
      </c>
      <c r="G19" s="85"/>
      <c r="H19" s="24" t="s">
        <v>29</v>
      </c>
    </row>
    <row r="20" spans="1:22" ht="36" customHeight="1" thickBot="1" x14ac:dyDescent="0.25">
      <c r="A20" s="29"/>
      <c r="B20" s="30">
        <f>Control_6 Open_time</f>
        <v>8.4722222222222213E-2</v>
      </c>
      <c r="C20" s="30">
        <f>Control_6 Close_time</f>
        <v>0.19236111111111112</v>
      </c>
      <c r="D20" s="31"/>
      <c r="E20" s="32" t="str">
        <f>IF(ISBLANK(Control_6 Establishment_3),"",Control_6 Establishment_3)</f>
        <v>100 Albert Head Rd</v>
      </c>
      <c r="F20" s="88" t="str">
        <f>IF(ISBLANK('Control Entry'!K20),"",'Control Entry'!K20)</f>
        <v/>
      </c>
      <c r="G20" s="87"/>
      <c r="H20" s="24" t="s">
        <v>29</v>
      </c>
      <c r="J20" s="50" t="s">
        <v>44</v>
      </c>
      <c r="K20" s="50"/>
      <c r="L20" s="135" t="str">
        <f>IF(ISBLANK('Control Entry'!B12),"",'Control Entry'!B12)</f>
        <v/>
      </c>
      <c r="M20" s="135"/>
      <c r="N20" s="135"/>
      <c r="P20" s="15" t="s">
        <v>0</v>
      </c>
      <c r="Q20" s="15"/>
      <c r="S20" s="112">
        <f>IF(ISBLANK('Control Entry'!B13),"",'Control Entry'!B13)</f>
        <v>0</v>
      </c>
      <c r="T20" s="112"/>
      <c r="U20" s="112"/>
    </row>
    <row r="21" spans="1:22" ht="36" customHeight="1" x14ac:dyDescent="0.2">
      <c r="A21" s="25"/>
      <c r="B21" s="26">
        <f>Control_7 Open_time</f>
        <v>9.375E-2</v>
      </c>
      <c r="C21" s="26">
        <f>Control_7 Close_time</f>
        <v>0.21319444444444444</v>
      </c>
      <c r="D21" s="33"/>
      <c r="E21" s="28" t="str">
        <f>IF(ISBLANK(Control_7 Establishment_1),"",Control_7 Establishment_1)</f>
        <v>INFORMATION</v>
      </c>
      <c r="F21" s="84" t="str">
        <f>IF(ISBLANK('Control Entry'!I21),"",'Control Entry'!I21)</f>
        <v xml:space="preserve">On plaque "military college period </v>
      </c>
      <c r="G21" s="85"/>
      <c r="H21" s="24" t="s">
        <v>29</v>
      </c>
      <c r="J21" s="50"/>
      <c r="K21" s="50"/>
      <c r="L21" s="44"/>
      <c r="M21" s="44"/>
      <c r="N21" s="44"/>
      <c r="P21" s="15"/>
      <c r="Q21" s="15"/>
      <c r="S21" s="51"/>
      <c r="T21" s="51"/>
      <c r="U21" s="51"/>
    </row>
    <row r="22" spans="1:22" ht="36" customHeight="1" thickBot="1" x14ac:dyDescent="0.25">
      <c r="A22" s="34">
        <f>IF(ISBLANK(Distance Control_7),"",Control_7 Distance)</f>
        <v>76.7</v>
      </c>
      <c r="B22" s="35">
        <f>Control_7 Open_time</f>
        <v>9.375E-2</v>
      </c>
      <c r="C22" s="35">
        <f>Control_7 Close_time</f>
        <v>0.21319444444444444</v>
      </c>
      <c r="D22" s="36" t="str">
        <f>IF(ISBLANK(Locale Control_7),"",Locale Control_7)</f>
        <v>COLWOOD</v>
      </c>
      <c r="E22" s="28" t="str">
        <f>IF(ISBLANK(Control_7 Establishment_2),"",Control_7 Establishment_2)</f>
        <v>Military College Parade Square</v>
      </c>
      <c r="F22" s="86" t="str">
        <f>IF(ISBLANK('Control Entry'!J21),"",'Control Entry'!J21)</f>
        <v>19__-1995</v>
      </c>
      <c r="G22" s="85"/>
      <c r="H22" s="24" t="s">
        <v>29</v>
      </c>
      <c r="J22" s="50" t="s">
        <v>45</v>
      </c>
      <c r="K22" s="50"/>
      <c r="L22" s="119"/>
      <c r="M22" s="119"/>
      <c r="N22" s="119"/>
      <c r="P22" s="15" t="s">
        <v>1</v>
      </c>
      <c r="Q22" s="15"/>
      <c r="S22" s="115"/>
      <c r="T22" s="115"/>
      <c r="U22" s="115"/>
    </row>
    <row r="23" spans="1:22" ht="36" customHeight="1" thickBot="1" x14ac:dyDescent="0.25">
      <c r="A23" s="29"/>
      <c r="B23" s="30">
        <f>Control_7 Open_time</f>
        <v>9.375E-2</v>
      </c>
      <c r="C23" s="30">
        <f>Control_7 Close_time</f>
        <v>0.21319444444444444</v>
      </c>
      <c r="D23" s="31"/>
      <c r="E23" s="32" t="str">
        <f>IF(ISBLANK(Control_7 Establishment_3),"",Control_7 Establishment_3)</f>
        <v>Royal Roads University</v>
      </c>
      <c r="F23" s="88" t="str">
        <f>IF(ISBLANK('Control Entry'!K21),"",'Control Entry'!K21)</f>
        <v/>
      </c>
      <c r="G23" s="87"/>
      <c r="H23" s="24" t="s">
        <v>29</v>
      </c>
      <c r="J23" s="50"/>
      <c r="K23" s="50"/>
      <c r="L23" s="44"/>
      <c r="M23" s="44"/>
      <c r="N23" s="44"/>
      <c r="P23" s="15"/>
      <c r="Q23" s="15"/>
    </row>
    <row r="24" spans="1:22" ht="36" customHeight="1" thickBot="1" x14ac:dyDescent="0.25">
      <c r="A24" s="25"/>
      <c r="B24" s="26">
        <f>Control_8 Open_time</f>
        <v>0.12708333333333333</v>
      </c>
      <c r="C24" s="26">
        <f>Control_8 Close_time</f>
        <v>0.28819444444444448</v>
      </c>
      <c r="D24" s="33"/>
      <c r="E24" s="28" t="str">
        <f>IF(ISBLANK(Control_8 Establishment_1),"",Control_8 Establishment_1)</f>
        <v>INFORMATION</v>
      </c>
      <c r="F24" s="84" t="str">
        <f>IF(ISBLANK('Control Entry'!I22),"",'Control Entry'!I22)</f>
        <v xml:space="preserve">Plaque on left of Cenotaph </v>
      </c>
      <c r="G24" s="85"/>
      <c r="H24" s="24" t="s">
        <v>29</v>
      </c>
      <c r="J24" s="115"/>
      <c r="K24" s="115"/>
      <c r="L24" s="115"/>
      <c r="M24" s="115"/>
      <c r="N24" s="115"/>
      <c r="P24" s="15" t="s">
        <v>2</v>
      </c>
      <c r="Q24" s="15"/>
      <c r="S24" s="115"/>
      <c r="T24" s="115"/>
      <c r="U24" s="115"/>
    </row>
    <row r="25" spans="1:22" ht="36" customHeight="1" x14ac:dyDescent="0.2">
      <c r="A25" s="34">
        <f>IF(ISBLANK(Distance Control_8),"",Control_8 Distance)</f>
        <v>103.7</v>
      </c>
      <c r="B25" s="35">
        <f>Control_8 Open_time</f>
        <v>0.12708333333333333</v>
      </c>
      <c r="C25" s="35">
        <f>Control_8 Close_time</f>
        <v>0.28819444444444448</v>
      </c>
      <c r="D25" s="36" t="str">
        <f>IF(ISBLANK(Locale Control_8),"",Locale Control_8)</f>
        <v>BRENTWOOD BAY</v>
      </c>
      <c r="E25" s="28" t="str">
        <f>IF(ISBLANK(Control_8 Establishment_2),"",Control_8 Establishment_2)</f>
        <v>Central Saanich Cenotaph</v>
      </c>
      <c r="F25" s="84" t="str">
        <f>IF(ISBLANK('Control Entry'!J22),"",'Control Entry'!J22)</f>
        <v>Year of the Veteran 20__</v>
      </c>
      <c r="G25" s="85"/>
      <c r="H25" s="24" t="s">
        <v>29</v>
      </c>
      <c r="J25" s="110" t="s">
        <v>17</v>
      </c>
      <c r="K25" s="110"/>
      <c r="L25" s="110"/>
      <c r="M25" s="110"/>
      <c r="N25" s="110"/>
      <c r="O25" s="46"/>
      <c r="P25" s="109"/>
      <c r="Q25" s="109"/>
      <c r="R25" s="46"/>
      <c r="S25" s="107"/>
      <c r="T25" s="107"/>
      <c r="U25" s="107"/>
      <c r="V25" s="107"/>
    </row>
    <row r="26" spans="1:22" ht="36" customHeight="1" thickBot="1" x14ac:dyDescent="0.25">
      <c r="A26" s="29"/>
      <c r="B26" s="30">
        <f>Control_8 Open_time</f>
        <v>0.12708333333333333</v>
      </c>
      <c r="C26" s="30">
        <f>Control_8 Close_time</f>
        <v>0.28819444444444448</v>
      </c>
      <c r="D26" s="31"/>
      <c r="E26" s="32" t="str">
        <f>IF(ISBLANK(Control_8 Establishment_3),"",Control_8 Establishment_3)</f>
        <v>Pioneer Park</v>
      </c>
      <c r="F26" s="88" t="str">
        <f>IF(ISBLANK('Control Entry'!K22),"",'Control Entry'!K22)</f>
        <v/>
      </c>
      <c r="G26" s="87"/>
      <c r="H26" s="24" t="s">
        <v>29</v>
      </c>
    </row>
    <row r="27" spans="1:22" ht="36" customHeight="1" x14ac:dyDescent="0.2">
      <c r="A27" s="25"/>
      <c r="B27" s="26" t="str">
        <f>Control_9 Open_time</f>
        <v/>
      </c>
      <c r="C27" s="26" t="str">
        <f>Control_9 Close_time</f>
        <v/>
      </c>
      <c r="D27" s="33"/>
      <c r="E27" s="28" t="str">
        <f>IF(ISBLANK(Control_9 Establishment_1),"",Control_9 Establishment_1)</f>
        <v/>
      </c>
      <c r="F27" s="84" t="str">
        <f>IF(ISBLANK('Control Entry'!I23),"",'Control Entry'!I23)</f>
        <v/>
      </c>
      <c r="G27" s="85"/>
      <c r="H27" s="24" t="s">
        <v>29</v>
      </c>
      <c r="K27" s="108" t="s">
        <v>56</v>
      </c>
      <c r="L27" s="109"/>
      <c r="M27" s="45" t="s">
        <v>57</v>
      </c>
      <c r="N27" s="109" t="s">
        <v>49</v>
      </c>
      <c r="O27" s="109"/>
      <c r="P27" s="109" t="s">
        <v>50</v>
      </c>
      <c r="Q27" s="109"/>
      <c r="R27" s="46" t="s">
        <v>51</v>
      </c>
      <c r="S27" s="107" t="s">
        <v>52</v>
      </c>
      <c r="T27" s="107"/>
      <c r="U27" s="107" t="s">
        <v>53</v>
      </c>
      <c r="V27" s="107"/>
    </row>
    <row r="28" spans="1:22" ht="36" customHeight="1" x14ac:dyDescent="0.2">
      <c r="A28" s="34" t="str">
        <f>IF(ISBLANK(Distance Control_9),"",Control_9 Distance)</f>
        <v/>
      </c>
      <c r="B28" s="35" t="str">
        <f>Control_9 Open_time</f>
        <v/>
      </c>
      <c r="C28" s="35" t="str">
        <f>Control_9 Close_time</f>
        <v/>
      </c>
      <c r="D28" s="36" t="str">
        <f>IF(ISBLANK(Locale Control_9),"",Locale Control_9)</f>
        <v/>
      </c>
      <c r="E28" s="28" t="str">
        <f>IF(ISBLANK(Control_9 Establishment_2),"",Control_9 Establishment_2)</f>
        <v/>
      </c>
      <c r="F28" s="84" t="str">
        <f>IF(ISBLANK('Control Entry'!J23),"",'Control Entry'!J23)</f>
        <v/>
      </c>
      <c r="G28" s="85"/>
      <c r="H28" s="24" t="s">
        <v>29</v>
      </c>
    </row>
    <row r="29" spans="1:22" ht="36" customHeight="1" thickBot="1" x14ac:dyDescent="0.25">
      <c r="A29" s="29"/>
      <c r="B29" s="30" t="str">
        <f>Control_9 Open_time</f>
        <v/>
      </c>
      <c r="C29" s="30" t="str">
        <f>Control_9 Close_time</f>
        <v/>
      </c>
      <c r="D29" s="31"/>
      <c r="E29" s="32" t="str">
        <f>IF(ISBLANK(Control_9 Establishment_3),"",Control_9 Establishment_3)</f>
        <v/>
      </c>
      <c r="F29" s="88" t="str">
        <f>IF(ISBLANK('Control Entry'!K23),"",'Control Entry'!K23)</f>
        <v/>
      </c>
      <c r="G29" s="87"/>
      <c r="H29" s="24" t="s">
        <v>29</v>
      </c>
      <c r="M29" s="136" t="s">
        <v>42</v>
      </c>
      <c r="N29" s="136"/>
      <c r="O29" s="136"/>
      <c r="P29" s="136"/>
      <c r="Q29" s="136"/>
      <c r="R29" s="136"/>
      <c r="S29" s="136"/>
      <c r="T29" s="136"/>
      <c r="U29" s="49"/>
    </row>
    <row r="30" spans="1:22" ht="36" customHeight="1" x14ac:dyDescent="0.2">
      <c r="A30" s="25"/>
      <c r="B30" s="26" t="str">
        <f>Control_10 Open_time</f>
        <v/>
      </c>
      <c r="C30" s="26" t="str">
        <f>Control_10 Close_time</f>
        <v/>
      </c>
      <c r="D30" s="33"/>
      <c r="E30" s="28" t="str">
        <f>IF(ISBLANK(Control_10 Establishment_1),"",Control_10 Establishment_1)</f>
        <v/>
      </c>
      <c r="F30" s="84" t="str">
        <f>IF(ISBLANK('Control Entry'!I24),"",'Control Entry'!I24)</f>
        <v/>
      </c>
      <c r="G30" s="85"/>
      <c r="H30" s="24" t="s">
        <v>29</v>
      </c>
      <c r="M30" s="16"/>
      <c r="N30" s="18"/>
      <c r="O30" s="18"/>
      <c r="P30" s="19"/>
      <c r="Q30" s="16"/>
      <c r="R30" s="18"/>
      <c r="S30" s="18"/>
      <c r="T30" s="19"/>
    </row>
    <row r="31" spans="1:22" ht="36" customHeight="1" x14ac:dyDescent="0.2">
      <c r="A31" s="34" t="str">
        <f>IF(ISBLANK(Distance Control_10),"",Control_10 Distance)</f>
        <v/>
      </c>
      <c r="B31" s="35" t="str">
        <f>Control_10 Open_time</f>
        <v/>
      </c>
      <c r="C31" s="35" t="str">
        <f>Control_10 Close_time</f>
        <v/>
      </c>
      <c r="D31" s="36" t="str">
        <f>IF(ISBLANK(Locale Control_10),"",Locale Control_10)</f>
        <v>SECRET</v>
      </c>
      <c r="E31" s="28" t="str">
        <f>IF(ISBLANK(Control_10 Establishment_2),"",Control_10 Establishment_2)</f>
        <v/>
      </c>
      <c r="F31" s="84" t="str">
        <f>IF(ISBLANK('Control Entry'!J24),"",'Control Entry'!J24)</f>
        <v/>
      </c>
      <c r="G31" s="85"/>
      <c r="H31" s="24" t="s">
        <v>29</v>
      </c>
      <c r="M31" s="17"/>
      <c r="P31" s="20"/>
      <c r="Q31" s="17"/>
      <c r="T31" s="20"/>
    </row>
    <row r="32" spans="1:22" ht="36" customHeight="1" thickBot="1" x14ac:dyDescent="0.25">
      <c r="A32" s="29"/>
      <c r="B32" s="30" t="str">
        <f>Control_10 Open_time</f>
        <v/>
      </c>
      <c r="C32" s="30" t="str">
        <f>Control_10 Close_time</f>
        <v/>
      </c>
      <c r="D32" s="31"/>
      <c r="E32" s="32" t="str">
        <f>IF(ISBLANK(Control_10 Establishment_3),"",Control_10 Establishment_3)</f>
        <v/>
      </c>
      <c r="F32" s="88" t="str">
        <f>IF(ISBLANK('Control Entry'!K24),"",'Control Entry'!K24)</f>
        <v/>
      </c>
      <c r="G32" s="87"/>
      <c r="H32" s="24" t="s">
        <v>29</v>
      </c>
      <c r="M32" s="128" t="s">
        <v>82</v>
      </c>
      <c r="N32" s="129"/>
      <c r="O32" s="129"/>
      <c r="P32" s="130"/>
      <c r="Q32" s="131">
        <f>'Control Entry'!B3</f>
        <v>44700</v>
      </c>
      <c r="R32" s="132"/>
      <c r="S32" s="132"/>
      <c r="T32" s="133"/>
    </row>
    <row r="33" spans="1:22" ht="36" customHeight="1" x14ac:dyDescent="0.2">
      <c r="A33" s="123" t="s">
        <v>43</v>
      </c>
      <c r="B33" s="123"/>
      <c r="C33" s="123"/>
      <c r="D33" s="123"/>
      <c r="E33" s="123"/>
      <c r="F33" s="123"/>
      <c r="G33" s="123"/>
      <c r="H33" s="37"/>
      <c r="I33" s="37"/>
      <c r="M33" s="137" t="s">
        <v>86</v>
      </c>
      <c r="N33" s="138"/>
      <c r="O33" s="138"/>
      <c r="P33" s="138"/>
      <c r="Q33" s="139">
        <f>'Control Entry'!B4</f>
        <v>44870</v>
      </c>
      <c r="R33" s="126"/>
      <c r="S33" s="126"/>
      <c r="T33" s="126"/>
      <c r="V33" s="44"/>
    </row>
    <row r="34" spans="1:22" ht="36" customHeight="1" x14ac:dyDescent="0.2">
      <c r="A34"/>
      <c r="O34" s="15"/>
      <c r="P34" s="15"/>
      <c r="Q34" s="15"/>
      <c r="R34" s="42"/>
    </row>
    <row r="35" spans="1:22" ht="36" customHeight="1" x14ac:dyDescent="0.2">
      <c r="A35"/>
      <c r="N35" s="136"/>
      <c r="O35" s="136"/>
      <c r="P35" s="136"/>
      <c r="Q35" s="136"/>
      <c r="R35" s="136"/>
      <c r="S35" s="136"/>
      <c r="T35" s="136"/>
      <c r="U35" s="136"/>
    </row>
    <row r="36" spans="1:22" ht="36" customHeight="1" x14ac:dyDescent="0.15">
      <c r="A36"/>
    </row>
    <row r="37" spans="1:22" ht="36" customHeight="1" x14ac:dyDescent="0.15">
      <c r="A37"/>
    </row>
    <row r="38" spans="1:22" ht="36" customHeight="1" x14ac:dyDescent="0.2">
      <c r="A38"/>
      <c r="N38" s="15"/>
    </row>
    <row r="39" spans="1:22" ht="36" customHeight="1" x14ac:dyDescent="0.15">
      <c r="A39"/>
    </row>
    <row r="40" spans="1:22" ht="36" customHeight="1" x14ac:dyDescent="0.15">
      <c r="A40"/>
    </row>
  </sheetData>
  <sheetProtection algorithmName="SHA-512" hashValue="iDQb38Z5WZp87lXMQAT4xTXeXKPICpVt+wSBVo/dofQxJAYMrgvpXFZDzKlfo5JR1/olCdCIytlMSqpHKz79Wg==" saltValue="3TGUHDVIfOEKM0XlLUm4zg==" spinCount="100000" sheet="1" objects="1" scenarios="1" formatCells="0" selectLockedCells="1"/>
  <mergeCells count="41">
    <mergeCell ref="U25:V25"/>
    <mergeCell ref="N35:U35"/>
    <mergeCell ref="M29:T29"/>
    <mergeCell ref="N27:O27"/>
    <mergeCell ref="P27:Q27"/>
    <mergeCell ref="S27:T27"/>
    <mergeCell ref="U27:V27"/>
    <mergeCell ref="M33:P33"/>
    <mergeCell ref="Q33:T33"/>
    <mergeCell ref="A1:G1"/>
    <mergeCell ref="A33:G33"/>
    <mergeCell ref="M4:T4"/>
    <mergeCell ref="P25:Q25"/>
    <mergeCell ref="S25:T25"/>
    <mergeCell ref="S12:U12"/>
    <mergeCell ref="R13:U13"/>
    <mergeCell ref="R5:U5"/>
    <mergeCell ref="K2:U2"/>
    <mergeCell ref="L8:Q8"/>
    <mergeCell ref="M32:P32"/>
    <mergeCell ref="Q32:T32"/>
    <mergeCell ref="T8:U8"/>
    <mergeCell ref="L20:N20"/>
    <mergeCell ref="L11:N11"/>
    <mergeCell ref="L12:N12"/>
    <mergeCell ref="N5:O5"/>
    <mergeCell ref="K27:L27"/>
    <mergeCell ref="J25:N25"/>
    <mergeCell ref="O3:R3"/>
    <mergeCell ref="S20:U20"/>
    <mergeCell ref="L15:U15"/>
    <mergeCell ref="L6:U6"/>
    <mergeCell ref="S24:U24"/>
    <mergeCell ref="J24:N24"/>
    <mergeCell ref="L9:U9"/>
    <mergeCell ref="L10:U10"/>
    <mergeCell ref="L16:U16"/>
    <mergeCell ref="L22:N22"/>
    <mergeCell ref="S22:U22"/>
    <mergeCell ref="L13:N13"/>
    <mergeCell ref="S11:U11"/>
  </mergeCells>
  <phoneticPr fontId="16" type="noConversion"/>
  <pageMargins left="0.2" right="0.2" top="0.2" bottom="0.2" header="0.51" footer="0.51"/>
  <pageSetup scale="45" orientation="landscape" horizontalDpi="4294967292" verticalDpi="4294967292"/>
  <ignoredErrors>
    <ignoredError sqref="L20" unlockedFormula="1"/>
  </ignoredErrors>
  <drawing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40"/>
  <sheetViews>
    <sheetView showGridLines="0" zoomScale="92" zoomScaleNormal="92" zoomScalePageLayoutView="92" workbookViewId="0">
      <selection activeCell="G7" sqref="G7"/>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customWidth="1"/>
    <col min="9" max="9" width="12" customWidth="1"/>
    <col min="18" max="19" width="8.83203125" customWidth="1"/>
  </cols>
  <sheetData>
    <row r="1" spans="1:22" ht="21" thickBot="1" x14ac:dyDescent="0.2">
      <c r="A1" s="122" t="s">
        <v>74</v>
      </c>
      <c r="B1" s="122"/>
      <c r="C1" s="122"/>
      <c r="D1" s="122"/>
      <c r="E1" s="122"/>
      <c r="F1" s="122"/>
      <c r="G1" s="122"/>
      <c r="H1" s="24" t="s">
        <v>29</v>
      </c>
    </row>
    <row r="2" spans="1:22" ht="33.75" customHeight="1" thickBot="1" x14ac:dyDescent="0.25">
      <c r="A2" s="65" t="s">
        <v>30</v>
      </c>
      <c r="B2" s="9" t="s">
        <v>3</v>
      </c>
      <c r="C2" s="9" t="s">
        <v>4</v>
      </c>
      <c r="D2" s="9" t="s">
        <v>25</v>
      </c>
      <c r="E2" s="9" t="s">
        <v>31</v>
      </c>
      <c r="F2" s="9" t="s">
        <v>59</v>
      </c>
      <c r="G2" s="65" t="s">
        <v>32</v>
      </c>
      <c r="H2" s="24" t="s">
        <v>29</v>
      </c>
      <c r="K2" s="126" t="s">
        <v>55</v>
      </c>
      <c r="L2" s="126"/>
      <c r="M2" s="126"/>
      <c r="N2" s="126"/>
      <c r="O2" s="126"/>
      <c r="P2" s="126"/>
      <c r="Q2" s="126"/>
      <c r="R2" s="126"/>
      <c r="S2" s="126"/>
      <c r="T2" s="126"/>
      <c r="U2" s="126"/>
    </row>
    <row r="3" spans="1:22" ht="36" customHeight="1" x14ac:dyDescent="0.45">
      <c r="A3" s="25"/>
      <c r="B3" s="26">
        <f>'Control Entry'!N28</f>
        <v>0.14930555555555555</v>
      </c>
      <c r="C3" s="26">
        <f>'Control Entry'!O28</f>
        <v>0.33888888888888885</v>
      </c>
      <c r="D3" s="27"/>
      <c r="E3" s="28" t="str">
        <f>IF(ISBLANK('Control Entry'!F28),"",'Control Entry'!F28)</f>
        <v>INFORMATION</v>
      </c>
      <c r="F3" s="84" t="str">
        <f>IF(ISBLANK('Control Entry'!I28),"",'Control Entry'!I28)</f>
        <v>Maple Leaf on Ground to the left of Memorial: .</v>
      </c>
      <c r="G3" s="85"/>
      <c r="H3" s="24" t="s">
        <v>29</v>
      </c>
      <c r="K3" s="14"/>
      <c r="O3" s="111" t="s">
        <v>73</v>
      </c>
      <c r="P3" s="111"/>
      <c r="Q3" s="111"/>
      <c r="R3" s="111"/>
      <c r="S3" s="75" t="str">
        <f>IF('Control Entry'!D28=0,"","#2")</f>
        <v>#2</v>
      </c>
      <c r="U3" s="38"/>
    </row>
    <row r="4" spans="1:22" ht="36" customHeight="1" x14ac:dyDescent="0.2">
      <c r="A4" s="34">
        <f>IF(ISBLANK('Control Entry'!D28),"",'Control Entry'!D28)</f>
        <v>122</v>
      </c>
      <c r="B4" s="35">
        <f>'Control Entry'!N28</f>
        <v>0.14930555555555555</v>
      </c>
      <c r="C4" s="35">
        <f>'Control Entry'!O28</f>
        <v>0.33888888888888885</v>
      </c>
      <c r="D4" s="36" t="str">
        <f>IF(ISBLANK('Control Entry'!E28),"",'Control Entry'!E28)</f>
        <v>NORTH SAANICH</v>
      </c>
      <c r="E4" s="28" t="str">
        <f>IF(ISBLANK('Control Entry'!G28),"",'Control Entry'!G28)</f>
        <v>Lt. H Gray VC Memorial</v>
      </c>
      <c r="F4" s="84" t="str">
        <f>IF(ISBLANK('Control Entry'!J28),"",'Control Entry'!J28)</f>
        <v>How many Canadians served on aircraft carriers of the RN Fleet Air Arm"</v>
      </c>
      <c r="G4" s="85"/>
      <c r="H4" s="24" t="s">
        <v>29</v>
      </c>
      <c r="K4" s="14"/>
      <c r="M4" s="108" t="str">
        <f>IF(ISBLANK(brevet),"",brevet&amp;" km Randonnée")</f>
        <v>200 km Randonnée</v>
      </c>
      <c r="N4" s="108"/>
      <c r="O4" s="108"/>
      <c r="P4" s="108"/>
      <c r="Q4" s="108"/>
      <c r="R4" s="108"/>
      <c r="S4" s="108"/>
      <c r="T4" s="108"/>
      <c r="U4" s="39"/>
    </row>
    <row r="5" spans="1:22" ht="36" customHeight="1" thickBot="1" x14ac:dyDescent="0.25">
      <c r="A5" s="29"/>
      <c r="B5" s="30">
        <f>'Control Entry'!N28</f>
        <v>0.14930555555555555</v>
      </c>
      <c r="C5" s="30">
        <f>'Control Entry'!O28</f>
        <v>0.33888888888888885</v>
      </c>
      <c r="D5" s="31"/>
      <c r="E5" s="32" t="str">
        <f>IF(ISBLANK('Control Entry'!H28),"",'Control Entry'!H28)</f>
        <v>BC Aviation Museum</v>
      </c>
      <c r="F5" s="88" t="str">
        <f>IF(ISBLANK('Control Entry'!K28),"",'Control Entry'!K28)</f>
        <v>_____</v>
      </c>
      <c r="G5" s="87"/>
      <c r="H5" s="24" t="s">
        <v>29</v>
      </c>
      <c r="K5" s="14"/>
      <c r="M5" s="15"/>
      <c r="N5" s="107" t="s">
        <v>47</v>
      </c>
      <c r="O5" s="107"/>
      <c r="P5" s="52">
        <f>IF(ISBLANK(Brevet_Number),"",Brevet_Number)</f>
        <v>5236</v>
      </c>
      <c r="Q5" s="53"/>
      <c r="R5" s="125" t="str">
        <f>IF(ISBLANK('Control Entry'!$B10),"",'Control Entry'!$B10)</f>
        <v/>
      </c>
      <c r="S5" s="125"/>
      <c r="T5" s="125"/>
      <c r="U5" s="125"/>
      <c r="V5" s="40"/>
    </row>
    <row r="6" spans="1:22" ht="36" customHeight="1" x14ac:dyDescent="0.2">
      <c r="A6" s="25"/>
      <c r="B6" s="26">
        <f>'Control Entry'!N29</f>
        <v>0.17291666666666669</v>
      </c>
      <c r="C6" s="26">
        <f>'Control Entry'!O29</f>
        <v>0.39166666666666666</v>
      </c>
      <c r="D6" s="33"/>
      <c r="E6" s="28" t="str">
        <f>IF(ISBLANK('Control Entry'!F29),"",'Control Entry'!F29)</f>
        <v>INFORMATION</v>
      </c>
      <c r="F6" s="84" t="str">
        <f>IF(ISBLANK('Control Entry'!I29),"",'Control Entry'!I29)</f>
        <v xml:space="preserve">Plaque on left hand side of granite stone (second paragraph:) </v>
      </c>
      <c r="G6" s="85"/>
      <c r="H6" s="24" t="s">
        <v>29</v>
      </c>
      <c r="K6" s="14"/>
      <c r="L6" s="114" t="str">
        <f>IF(ISBLANK(Brevet_Description),"",Brevet_Description)</f>
        <v>Permanent #232: VI Remembrance Day 2022</v>
      </c>
      <c r="M6" s="114"/>
      <c r="N6" s="114"/>
      <c r="O6" s="114"/>
      <c r="P6" s="114"/>
      <c r="Q6" s="114"/>
      <c r="R6" s="114"/>
      <c r="S6" s="114"/>
      <c r="T6" s="114"/>
      <c r="U6" s="114"/>
    </row>
    <row r="7" spans="1:22" ht="36" customHeight="1" x14ac:dyDescent="0.2">
      <c r="A7" s="34">
        <f>IF(ISBLANK('Control Entry'!D29),"",'Control Entry'!D29)</f>
        <v>140.9</v>
      </c>
      <c r="B7" s="35">
        <f>'Control Entry'!N29</f>
        <v>0.17291666666666669</v>
      </c>
      <c r="C7" s="35">
        <f>'Control Entry'!O29</f>
        <v>0.39166666666666666</v>
      </c>
      <c r="D7" s="36" t="str">
        <f>IF(ISBLANK('Control Entry'!E29),"",'Control Entry'!E29)</f>
        <v xml:space="preserve">SAANICH </v>
      </c>
      <c r="E7" s="28" t="str">
        <f>IF(ISBLANK('Control Entry'!G29),"",'Control Entry'!G29)</f>
        <v>Royal Oak Cenotaph</v>
      </c>
      <c r="F7" s="86" t="str">
        <f>IF(ISBLANK('Control Entry'!J29),"",'Control Entry'!J29)</f>
        <v>How many men and women?__</v>
      </c>
      <c r="G7" s="85"/>
      <c r="H7" s="24" t="s">
        <v>29</v>
      </c>
    </row>
    <row r="8" spans="1:22" ht="36" customHeight="1" thickBot="1" x14ac:dyDescent="0.25">
      <c r="A8" s="29"/>
      <c r="B8" s="30">
        <f>'Control Entry'!N29</f>
        <v>0.17291666666666669</v>
      </c>
      <c r="C8" s="30">
        <f>'Control Entry'!O29</f>
        <v>0.39166666666666666</v>
      </c>
      <c r="D8" s="31"/>
      <c r="E8" s="32" t="str">
        <f>IF(ISBLANK('Control Entry'!H29),"",'Control Entry'!H29)</f>
        <v>Royal Oak Burial Park</v>
      </c>
      <c r="F8" s="88" t="str">
        <f>IF(ISBLANK('Control Entry'!K29),"",'Control Entry'!K29)</f>
        <v/>
      </c>
      <c r="G8" s="87"/>
      <c r="H8" s="24" t="s">
        <v>29</v>
      </c>
      <c r="J8" s="15" t="s">
        <v>34</v>
      </c>
      <c r="L8" s="127"/>
      <c r="M8" s="127"/>
      <c r="N8" s="127"/>
      <c r="O8" s="127"/>
      <c r="P8" s="127"/>
      <c r="Q8" s="127"/>
      <c r="S8" s="41" t="s">
        <v>46</v>
      </c>
      <c r="T8" s="134"/>
      <c r="U8" s="134"/>
    </row>
    <row r="9" spans="1:22" ht="36" customHeight="1" thickBot="1" x14ac:dyDescent="0.3">
      <c r="A9" s="25"/>
      <c r="B9" s="26">
        <f>'Control Entry'!N30</f>
        <v>0.1986111111111111</v>
      </c>
      <c r="C9" s="26">
        <f>'Control Entry'!O30</f>
        <v>0.45</v>
      </c>
      <c r="D9" s="33"/>
      <c r="E9" s="28" t="str">
        <f>IF(ISBLANK('Control Entry'!F30),"",'Control Entry'!F30)</f>
        <v>INFORMATION</v>
      </c>
      <c r="F9" s="84" t="str">
        <f>IF(ISBLANK('Control Entry'!I30),"",'Control Entry'!I30)</f>
        <v>Date on plaque:</v>
      </c>
      <c r="G9" s="85"/>
      <c r="H9" s="24" t="s">
        <v>29</v>
      </c>
      <c r="J9" s="15" t="s">
        <v>35</v>
      </c>
      <c r="K9" s="15"/>
      <c r="L9" s="116" t="s">
        <v>54</v>
      </c>
      <c r="M9" s="116"/>
      <c r="N9" s="116"/>
      <c r="O9" s="116"/>
      <c r="P9" s="116"/>
      <c r="Q9" s="116"/>
      <c r="R9" s="116"/>
      <c r="S9" s="116"/>
      <c r="T9" s="116"/>
      <c r="U9" s="116"/>
    </row>
    <row r="10" spans="1:22" ht="36" customHeight="1" thickBot="1" x14ac:dyDescent="0.3">
      <c r="A10" s="34">
        <f>IF(ISBLANK('Control Entry'!D30),"",'Control Entry'!D30)</f>
        <v>161.9</v>
      </c>
      <c r="B10" s="35">
        <f>'Control Entry'!N30</f>
        <v>0.1986111111111111</v>
      </c>
      <c r="C10" s="35">
        <f>'Control Entry'!O30</f>
        <v>0.45</v>
      </c>
      <c r="D10" s="36" t="str">
        <f>IF(ISBLANK('Control Entry'!E30),"",'Control Entry'!E30)</f>
        <v>SIDNEY</v>
      </c>
      <c r="E10" s="48" t="str">
        <f>IF(ISBLANK('Control Entry'!G30),"",'Control Entry'!G30)</f>
        <v>CAF 'Star of Military' plaque</v>
      </c>
      <c r="F10" s="86" t="str">
        <f>IF(ISBLANK('Control Entry'!J30),"",'Control Entry'!J30)</f>
        <v>June ___,2007</v>
      </c>
      <c r="G10" s="85"/>
      <c r="H10" s="24" t="s">
        <v>29</v>
      </c>
      <c r="J10" s="15"/>
      <c r="K10" s="15"/>
      <c r="L10" s="117"/>
      <c r="M10" s="117"/>
      <c r="N10" s="117"/>
      <c r="O10" s="117"/>
      <c r="P10" s="117"/>
      <c r="Q10" s="117"/>
      <c r="R10" s="117"/>
      <c r="S10" s="117"/>
      <c r="T10" s="117"/>
      <c r="U10" s="117"/>
    </row>
    <row r="11" spans="1:22" ht="36" customHeight="1" thickBot="1" x14ac:dyDescent="0.3">
      <c r="A11" s="29"/>
      <c r="B11" s="30">
        <f>'Control Entry'!N30</f>
        <v>0.1986111111111111</v>
      </c>
      <c r="C11" s="30">
        <f>'Control Entry'!O30</f>
        <v>0.45</v>
      </c>
      <c r="D11" s="31"/>
      <c r="E11" s="32" t="str">
        <f>IF(ISBLANK('Control Entry'!H30),"",'Control Entry'!H30)</f>
        <v>Beacon Park</v>
      </c>
      <c r="F11" s="88" t="str">
        <f>IF(ISBLANK('Control Entry'!K30),"",'Control Entry'!K30)</f>
        <v/>
      </c>
      <c r="G11" s="87"/>
      <c r="H11" s="24" t="s">
        <v>29</v>
      </c>
      <c r="J11" s="15" t="s">
        <v>36</v>
      </c>
      <c r="K11" s="15"/>
      <c r="L11" s="117"/>
      <c r="M11" s="117"/>
      <c r="N11" s="117"/>
      <c r="O11" s="15"/>
      <c r="P11" s="15" t="s">
        <v>37</v>
      </c>
      <c r="Q11" s="15"/>
      <c r="R11" s="15"/>
      <c r="S11" s="121"/>
      <c r="T11" s="121"/>
      <c r="U11" s="121"/>
    </row>
    <row r="12" spans="1:22" ht="36" customHeight="1" thickBot="1" x14ac:dyDescent="0.3">
      <c r="A12" s="25"/>
      <c r="B12" s="26">
        <f>'Control Entry'!N31</f>
        <v>0.22777777777777777</v>
      </c>
      <c r="C12" s="26">
        <f>'Control Entry'!O31</f>
        <v>0.51666666666666672</v>
      </c>
      <c r="D12" s="33"/>
      <c r="E12" s="28" t="str">
        <f>IF(ISBLANK('Control Entry'!F31),"",'Control Entry'!F31)</f>
        <v>INFORMATION</v>
      </c>
      <c r="F12" s="84" t="str">
        <f>IF(ISBLANK('Control Entry'!I31),"",'Control Entry'!I31)</f>
        <v>Year that the plaque was erected</v>
      </c>
      <c r="G12" s="85"/>
      <c r="H12" s="24" t="s">
        <v>29</v>
      </c>
      <c r="J12" s="15" t="s">
        <v>38</v>
      </c>
      <c r="K12" s="15"/>
      <c r="L12" s="117"/>
      <c r="M12" s="117"/>
      <c r="N12" s="117"/>
      <c r="O12" s="15"/>
      <c r="P12" s="15" t="s">
        <v>39</v>
      </c>
      <c r="Q12" s="15"/>
      <c r="R12" s="15"/>
      <c r="S12" s="121"/>
      <c r="T12" s="121"/>
      <c r="U12" s="121"/>
    </row>
    <row r="13" spans="1:22" ht="36" customHeight="1" thickBot="1" x14ac:dyDescent="0.3">
      <c r="A13" s="34">
        <f>IF(ISBLANK('Control Entry'!D31),"",'Control Entry'!D31)</f>
        <v>186.1</v>
      </c>
      <c r="B13" s="35">
        <f>'Control Entry'!N31</f>
        <v>0.22777777777777777</v>
      </c>
      <c r="C13" s="35">
        <f>'Control Entry'!O31</f>
        <v>0.51666666666666672</v>
      </c>
      <c r="D13" s="36" t="str">
        <f>IF(ISBLANK('Control Entry'!E31),"",'Control Entry'!E31)</f>
        <v xml:space="preserve">SAANICH </v>
      </c>
      <c r="E13" s="28" t="str">
        <f>IF(ISBLANK('Control Entry'!G31),"",'Control Entry'!G31)</f>
        <v>Memorial Trees plaque</v>
      </c>
      <c r="F13" s="84" t="str">
        <f>IF(ISBLANK('Control Entry'!J31),"",'Control Entry'!J31)</f>
        <v>19___</v>
      </c>
      <c r="G13" s="85"/>
      <c r="H13" s="24" t="s">
        <v>29</v>
      </c>
      <c r="J13" s="15" t="s">
        <v>40</v>
      </c>
      <c r="L13" s="120"/>
      <c r="M13" s="120"/>
      <c r="N13" s="120"/>
      <c r="P13" s="15" t="s">
        <v>41</v>
      </c>
      <c r="Q13" s="15"/>
      <c r="R13" s="124"/>
      <c r="S13" s="124"/>
      <c r="T13" s="124"/>
      <c r="U13" s="124"/>
    </row>
    <row r="14" spans="1:22" ht="36" customHeight="1" thickBot="1" x14ac:dyDescent="0.25">
      <c r="A14" s="29"/>
      <c r="B14" s="30">
        <f>'Control Entry'!N31</f>
        <v>0.22777777777777777</v>
      </c>
      <c r="C14" s="30">
        <f>'Control Entry'!O31</f>
        <v>0.51666666666666672</v>
      </c>
      <c r="D14" s="31"/>
      <c r="E14" s="32" t="str">
        <f>IF(ISBLANK('Control Entry'!H31),"",'Control Entry'!H31)</f>
        <v>Shelbourne Ave centre median</v>
      </c>
      <c r="F14" s="88" t="str">
        <f>IF(ISBLANK('Control Entry'!K31),"",'Control Entry'!K31)</f>
        <v/>
      </c>
      <c r="G14" s="87"/>
      <c r="H14" s="24" t="s">
        <v>29</v>
      </c>
    </row>
    <row r="15" spans="1:22" ht="36" customHeight="1" x14ac:dyDescent="0.2">
      <c r="A15" s="25"/>
      <c r="B15" s="26">
        <f>'Control Entry'!N32</f>
        <v>0.24236111111111111</v>
      </c>
      <c r="C15" s="26">
        <f>'Control Entry'!O32</f>
        <v>0.54861111111111105</v>
      </c>
      <c r="D15" s="33"/>
      <c r="E15" s="28" t="str">
        <f>IF(ISBLANK('Control Entry'!F32),"",'Control Entry'!F32)</f>
        <v>INFORMATION</v>
      </c>
      <c r="F15" s="84" t="str">
        <f>IF(ISBLANK('Control Entry'!I32),"",'Control Entry'!I32)</f>
        <v xml:space="preserve">Bottom name on right: </v>
      </c>
      <c r="G15" s="85"/>
      <c r="H15" s="24" t="s">
        <v>29</v>
      </c>
      <c r="J15" s="15"/>
      <c r="L15" s="113" t="s">
        <v>58</v>
      </c>
      <c r="M15" s="113"/>
      <c r="N15" s="113"/>
      <c r="O15" s="113"/>
      <c r="P15" s="113"/>
      <c r="Q15" s="113"/>
      <c r="R15" s="113"/>
      <c r="S15" s="113"/>
      <c r="T15" s="113"/>
      <c r="U15" s="113"/>
    </row>
    <row r="16" spans="1:22" ht="36" customHeight="1" thickBot="1" x14ac:dyDescent="0.25">
      <c r="A16" s="34">
        <f>IF(ISBLANK('Control Entry'!D32),"",'Control Entry'!D32)</f>
        <v>197.6</v>
      </c>
      <c r="B16" s="35">
        <f>'Control Entry'!N32</f>
        <v>0.24236111111111111</v>
      </c>
      <c r="C16" s="35">
        <f>'Control Entry'!O32</f>
        <v>0.54861111111111105</v>
      </c>
      <c r="D16" s="36" t="str">
        <f>IF(ISBLANK('Control Entry'!E32),"",'Control Entry'!E32)</f>
        <v>VICTORIA</v>
      </c>
      <c r="E16" s="28" t="str">
        <f>IF(ISBLANK('Control Entry'!G32),"",'Control Entry'!G32)</f>
        <v>Chinese War Memorial</v>
      </c>
      <c r="F16" s="84" t="str">
        <f>IF(ISBLANK('Control Entry'!J32),"",'Control Entry'!J32)</f>
        <v>Yuen,______</v>
      </c>
      <c r="G16" s="85"/>
      <c r="H16" s="24" t="s">
        <v>29</v>
      </c>
      <c r="L16" s="118"/>
      <c r="M16" s="118"/>
      <c r="N16" s="118"/>
      <c r="O16" s="118"/>
      <c r="P16" s="118"/>
      <c r="Q16" s="118"/>
      <c r="R16" s="118"/>
      <c r="S16" s="118"/>
      <c r="T16" s="118"/>
      <c r="U16" s="118"/>
    </row>
    <row r="17" spans="1:22" ht="36" customHeight="1" thickBot="1" x14ac:dyDescent="0.25">
      <c r="A17" s="29"/>
      <c r="B17" s="30">
        <f>'Control Entry'!N32</f>
        <v>0.24236111111111111</v>
      </c>
      <c r="C17" s="30">
        <f>'Control Entry'!O32</f>
        <v>0.54861111111111105</v>
      </c>
      <c r="D17" s="31"/>
      <c r="E17" s="32" t="str">
        <f>IF(ISBLANK('Control Entry'!H32),"",'Control Entry'!H32)</f>
        <v>Gate of Harmonious Interest</v>
      </c>
      <c r="F17" s="88" t="str">
        <f>IF(ISBLANK('Control Entry'!K32),"",'Control Entry'!K32)</f>
        <v/>
      </c>
      <c r="G17" s="87"/>
      <c r="H17" s="24" t="s">
        <v>29</v>
      </c>
    </row>
    <row r="18" spans="1:22" ht="36" customHeight="1" x14ac:dyDescent="0.2">
      <c r="A18" s="25"/>
      <c r="B18" s="26">
        <f>'Control Entry'!N33</f>
        <v>0.24374999999999999</v>
      </c>
      <c r="C18" s="26">
        <f>'Control Entry'!O33</f>
        <v>0.55277777777777781</v>
      </c>
      <c r="D18" s="33"/>
      <c r="E18" s="28" t="str">
        <f>IF(ISBLANK('Control Entry'!F33),"",'Control Entry'!F33)</f>
        <v>INFORMATION</v>
      </c>
      <c r="F18" s="84" t="str">
        <f>IF(ISBLANK('Control Entry'!I33),"",'Control Entry'!I33)</f>
        <v>What is in statue's left hand?</v>
      </c>
      <c r="G18" s="85"/>
      <c r="H18" s="24" t="s">
        <v>29</v>
      </c>
    </row>
    <row r="19" spans="1:22" ht="36" customHeight="1" x14ac:dyDescent="0.2">
      <c r="A19" s="34">
        <f>IF(ISBLANK('Control Entry'!D33),"",'Control Entry'!D33)</f>
        <v>199</v>
      </c>
      <c r="B19" s="35">
        <f>'Control Entry'!N33</f>
        <v>0.24374999999999999</v>
      </c>
      <c r="C19" s="35">
        <f>'Control Entry'!O33</f>
        <v>0.55277777777777781</v>
      </c>
      <c r="D19" s="36" t="str">
        <f>IF(ISBLANK('Control Entry'!E33),"",'Control Entry'!E33)</f>
        <v>VICTORIA</v>
      </c>
      <c r="E19" s="28" t="str">
        <f>IF(ISBLANK('Control Entry'!G33),"",'Control Entry'!G33)</f>
        <v>Spirit of the Republic</v>
      </c>
      <c r="F19" s="84" t="str">
        <f>IF(ISBLANK('Control Entry'!J33),"",'Control Entry'!J33)</f>
        <v>__________</v>
      </c>
      <c r="G19" s="85"/>
      <c r="H19" s="24" t="s">
        <v>29</v>
      </c>
    </row>
    <row r="20" spans="1:22" ht="36" customHeight="1" thickBot="1" x14ac:dyDescent="0.25">
      <c r="A20" s="29"/>
      <c r="B20" s="30">
        <f>'Control Entry'!N33</f>
        <v>0.24374999999999999</v>
      </c>
      <c r="C20" s="30">
        <f>'Control Entry'!O33</f>
        <v>0.55277777777777781</v>
      </c>
      <c r="D20" s="31"/>
      <c r="E20" s="32" t="str">
        <f>IF(ISBLANK('Control Entry'!H33),"",'Control Entry'!H33)</f>
        <v>Confederation Garden Court</v>
      </c>
      <c r="F20" s="88" t="str">
        <f>IF(ISBLANK('Control Entry'!K33),"",'Control Entry'!K33)</f>
        <v/>
      </c>
      <c r="G20" s="87"/>
      <c r="H20" s="24" t="s">
        <v>29</v>
      </c>
      <c r="J20" s="50" t="s">
        <v>44</v>
      </c>
      <c r="K20" s="50"/>
      <c r="L20" s="140" t="str">
        <f>IF(ISBLANK('Control Entry'!B12),"",'Control Entry'!B12)</f>
        <v/>
      </c>
      <c r="M20" s="140"/>
      <c r="N20" s="140"/>
      <c r="P20" s="15" t="s">
        <v>0</v>
      </c>
      <c r="Q20" s="15"/>
      <c r="S20" s="112">
        <f>IF(ISBLANK('Control Entry'!B13),"",'Control Entry'!B13)</f>
        <v>0</v>
      </c>
      <c r="T20" s="112"/>
      <c r="U20" s="112"/>
    </row>
    <row r="21" spans="1:22" ht="36" customHeight="1" x14ac:dyDescent="0.2">
      <c r="A21" s="25"/>
      <c r="B21" s="26">
        <f>'Control Entry'!N34</f>
        <v>0.24652777777777779</v>
      </c>
      <c r="C21" s="26">
        <f>'Control Entry'!O34</f>
        <v>0.5625</v>
      </c>
      <c r="D21" s="33"/>
      <c r="E21" s="28" t="str">
        <f>IF(ISBLANK('Control Entry'!F34),"",'Control Entry'!F34)</f>
        <v>SELF CHECK</v>
      </c>
      <c r="F21" s="84" t="str">
        <f>IF(ISBLANK('Control Entry'!I34),"",'Control Entry'!I34)</f>
        <v>Take selfie at  totem pole or send GPS track ie: Strava</v>
      </c>
      <c r="G21" s="85"/>
      <c r="H21" s="24" t="s">
        <v>29</v>
      </c>
      <c r="J21" s="114" t="s">
        <v>90</v>
      </c>
      <c r="K21" s="114"/>
      <c r="L21" s="114"/>
      <c r="M21" s="114"/>
      <c r="N21" s="114"/>
      <c r="O21" s="114"/>
      <c r="P21" s="114"/>
      <c r="Q21" s="114"/>
      <c r="R21" s="114"/>
      <c r="S21" s="114"/>
      <c r="T21" s="114"/>
      <c r="U21" s="114"/>
    </row>
    <row r="22" spans="1:22" ht="36" customHeight="1" thickBot="1" x14ac:dyDescent="0.25">
      <c r="A22" s="34">
        <f>IF(ISBLANK('Control Entry'!D34),"",'Control Entry'!D34)</f>
        <v>201.2</v>
      </c>
      <c r="B22" s="35">
        <f>'Control Entry'!N34</f>
        <v>0.24652777777777779</v>
      </c>
      <c r="C22" s="35">
        <f>'Control Entry'!O34</f>
        <v>0.5625</v>
      </c>
      <c r="D22" s="36" t="str">
        <f>IF(ISBLANK('Control Entry'!E34),"",'Control Entry'!E34)</f>
        <v>VICTORIA</v>
      </c>
      <c r="E22" s="28" t="str">
        <f>IF(ISBLANK('Control Entry'!G34),"",'Control Entry'!G34)</f>
        <v>BC Indians War Memorial</v>
      </c>
      <c r="F22" s="84" t="str">
        <f>IF(ISBLANK('Control Entry'!J34),"",'Control Entry'!J34)</f>
        <v/>
      </c>
      <c r="G22" s="85"/>
      <c r="H22" s="24" t="s">
        <v>29</v>
      </c>
      <c r="J22" s="50" t="s">
        <v>45</v>
      </c>
      <c r="K22" s="50"/>
      <c r="L22" s="119"/>
      <c r="M22" s="119"/>
      <c r="N22" s="119"/>
      <c r="P22" s="15" t="s">
        <v>1</v>
      </c>
      <c r="Q22" s="15"/>
      <c r="S22" s="115"/>
      <c r="T22" s="115"/>
      <c r="U22" s="115"/>
    </row>
    <row r="23" spans="1:22" ht="36" customHeight="1" thickBot="1" x14ac:dyDescent="0.25">
      <c r="A23" s="29"/>
      <c r="B23" s="30">
        <f>'Control Entry'!N34</f>
        <v>0.24652777777777779</v>
      </c>
      <c r="C23" s="30">
        <f>'Control Entry'!O34</f>
        <v>0.5625</v>
      </c>
      <c r="D23" s="31"/>
      <c r="E23" s="32" t="str">
        <f>IF(ISBLANK('Control Entry'!H34),"",'Control Entry'!H34)</f>
        <v>Beacon Hill Park</v>
      </c>
      <c r="F23" s="88" t="str">
        <f>IF(ISBLANK('Control Entry'!K34),"",'Control Entry'!K34)</f>
        <v/>
      </c>
      <c r="G23" s="87"/>
      <c r="H23" s="24" t="s">
        <v>29</v>
      </c>
      <c r="J23" s="50"/>
      <c r="K23" s="50"/>
      <c r="L23" s="44"/>
      <c r="M23" s="44"/>
      <c r="N23" s="44"/>
      <c r="P23" s="15"/>
      <c r="Q23" s="15"/>
    </row>
    <row r="24" spans="1:22" ht="36" customHeight="1" thickBot="1" x14ac:dyDescent="0.25">
      <c r="A24" s="25"/>
      <c r="B24" s="26" t="str">
        <f>'Control Entry'!N35</f>
        <v/>
      </c>
      <c r="C24" s="26" t="str">
        <f>'Control Entry'!O35</f>
        <v/>
      </c>
      <c r="D24" s="33"/>
      <c r="E24" s="28" t="str">
        <f>IF(ISBLANK('Control Entry'!F35),"",'Control Entry'!F35)</f>
        <v/>
      </c>
      <c r="F24" s="84" t="str">
        <f>IF(ISBLANK('Control Entry'!I35),"",'Control Entry'!I35)</f>
        <v/>
      </c>
      <c r="G24" s="85"/>
      <c r="H24" s="24" t="s">
        <v>29</v>
      </c>
      <c r="J24" s="115"/>
      <c r="K24" s="115"/>
      <c r="L24" s="115"/>
      <c r="M24" s="115"/>
      <c r="N24" s="115"/>
      <c r="P24" s="15" t="s">
        <v>2</v>
      </c>
      <c r="Q24" s="15"/>
      <c r="S24" s="115"/>
      <c r="T24" s="115"/>
      <c r="U24" s="115"/>
    </row>
    <row r="25" spans="1:22" ht="36" customHeight="1" x14ac:dyDescent="0.2">
      <c r="A25" s="34" t="str">
        <f>IF(ISBLANK('Control Entry'!D35),"",'Control Entry'!D35)</f>
        <v/>
      </c>
      <c r="B25" s="35" t="str">
        <f>'Control Entry'!N35</f>
        <v/>
      </c>
      <c r="C25" s="35" t="str">
        <f>'Control Entry'!O35</f>
        <v/>
      </c>
      <c r="D25" s="36" t="str">
        <f>IF(ISBLANK('Control Entry'!E35),"",'Control Entry'!E35)</f>
        <v/>
      </c>
      <c r="E25" s="28" t="str">
        <f>IF(ISBLANK('Control Entry'!G35),"",'Control Entry'!G35)</f>
        <v/>
      </c>
      <c r="F25" s="84" t="str">
        <f>IF(ISBLANK('Control Entry'!J35),"",'Control Entry'!J35)</f>
        <v/>
      </c>
      <c r="G25" s="85"/>
      <c r="H25" s="24" t="s">
        <v>29</v>
      </c>
      <c r="J25" s="110" t="s">
        <v>17</v>
      </c>
      <c r="K25" s="110"/>
      <c r="L25" s="110"/>
      <c r="M25" s="110"/>
      <c r="N25" s="110"/>
      <c r="O25" s="46"/>
      <c r="P25" s="109"/>
      <c r="Q25" s="109"/>
      <c r="R25" s="46"/>
      <c r="S25" s="107"/>
      <c r="T25" s="107"/>
      <c r="U25" s="107"/>
      <c r="V25" s="107"/>
    </row>
    <row r="26" spans="1:22" ht="36" customHeight="1" thickBot="1" x14ac:dyDescent="0.25">
      <c r="A26" s="29"/>
      <c r="B26" s="30" t="str">
        <f>'Control Entry'!N35</f>
        <v/>
      </c>
      <c r="C26" s="30" t="str">
        <f>'Control Entry'!O35</f>
        <v/>
      </c>
      <c r="D26" s="31"/>
      <c r="E26" s="32" t="str">
        <f>IF(ISBLANK('Control Entry'!H35),"",'Control Entry'!H35)</f>
        <v/>
      </c>
      <c r="F26" s="88" t="str">
        <f>IF(ISBLANK('Control Entry'!K35),"",'Control Entry'!K35)</f>
        <v/>
      </c>
      <c r="G26" s="87"/>
      <c r="H26" s="24" t="s">
        <v>29</v>
      </c>
    </row>
    <row r="27" spans="1:22" ht="36" customHeight="1" x14ac:dyDescent="0.2">
      <c r="A27" s="25"/>
      <c r="B27" s="26" t="str">
        <f>'Control Entry'!N36</f>
        <v/>
      </c>
      <c r="C27" s="26" t="str">
        <f>'Control Entry'!O36</f>
        <v/>
      </c>
      <c r="D27" s="33"/>
      <c r="E27" s="28" t="str">
        <f>IF(ISBLANK('Control Entry'!F36),"",'Control Entry'!F36)</f>
        <v/>
      </c>
      <c r="F27" s="84" t="str">
        <f>IF(ISBLANK('Control Entry'!I36),"",'Control Entry'!I36)</f>
        <v/>
      </c>
      <c r="G27" s="85"/>
      <c r="H27" s="24" t="s">
        <v>29</v>
      </c>
      <c r="K27" s="108" t="s">
        <v>56</v>
      </c>
      <c r="L27" s="109"/>
      <c r="M27" s="45" t="s">
        <v>57</v>
      </c>
      <c r="N27" s="109" t="s">
        <v>49</v>
      </c>
      <c r="O27" s="109"/>
      <c r="P27" s="109" t="s">
        <v>50</v>
      </c>
      <c r="Q27" s="109"/>
      <c r="R27" s="46" t="s">
        <v>51</v>
      </c>
      <c r="S27" s="107" t="s">
        <v>52</v>
      </c>
      <c r="T27" s="107"/>
      <c r="U27" s="107" t="s">
        <v>53</v>
      </c>
      <c r="V27" s="107"/>
    </row>
    <row r="28" spans="1:22" ht="36" customHeight="1" x14ac:dyDescent="0.2">
      <c r="A28" s="34" t="str">
        <f>IF(ISBLANK('Control Entry'!D36),"",'Control Entry'!D36)</f>
        <v/>
      </c>
      <c r="B28" s="35" t="str">
        <f>'Control Entry'!N36</f>
        <v/>
      </c>
      <c r="C28" s="35" t="str">
        <f>'Control Entry'!O36</f>
        <v/>
      </c>
      <c r="D28" s="36" t="str">
        <f>IF(ISBLANK('Control Entry'!E36),"",'Control Entry'!E36)</f>
        <v>SECRET</v>
      </c>
      <c r="E28" s="28" t="str">
        <f>IF(ISBLANK('Control Entry'!G36),"",'Control Entry'!G36)</f>
        <v/>
      </c>
      <c r="F28" s="84" t="str">
        <f>IF(ISBLANK('Control Entry'!J36),"",'Control Entry'!J36)</f>
        <v/>
      </c>
      <c r="G28" s="85"/>
      <c r="H28" s="24" t="s">
        <v>29</v>
      </c>
    </row>
    <row r="29" spans="1:22" ht="36" customHeight="1" thickBot="1" x14ac:dyDescent="0.25">
      <c r="A29" s="29"/>
      <c r="B29" s="30" t="str">
        <f>'Control Entry'!N36</f>
        <v/>
      </c>
      <c r="C29" s="30" t="str">
        <f>'Control Entry'!O36</f>
        <v/>
      </c>
      <c r="D29" s="31"/>
      <c r="E29" s="32" t="str">
        <f>IF(ISBLANK('Control Entry'!H36),"",'Control Entry'!H36)</f>
        <v/>
      </c>
      <c r="F29" s="88" t="str">
        <f>IF(ISBLANK('Control Entry'!K36),"",'Control Entry'!K36)</f>
        <v/>
      </c>
      <c r="G29" s="87"/>
      <c r="H29" s="24" t="s">
        <v>29</v>
      </c>
      <c r="M29" s="136" t="s">
        <v>42</v>
      </c>
      <c r="N29" s="136"/>
      <c r="O29" s="136"/>
      <c r="P29" s="136"/>
      <c r="Q29" s="136"/>
      <c r="R29" s="136"/>
      <c r="S29" s="136"/>
      <c r="T29" s="136"/>
      <c r="U29" s="49"/>
    </row>
    <row r="30" spans="1:22" ht="36" customHeight="1" x14ac:dyDescent="0.2">
      <c r="A30" s="25"/>
      <c r="B30" s="26" t="str">
        <f>'Control Entry'!N37</f>
        <v/>
      </c>
      <c r="C30" s="26" t="str">
        <f>'Control Entry'!O37</f>
        <v/>
      </c>
      <c r="D30" s="33"/>
      <c r="E30" s="28" t="str">
        <f>IF(ISBLANK('Control Entry'!F37),"",'Control Entry'!F37)</f>
        <v/>
      </c>
      <c r="F30" s="84" t="str">
        <f>IF(ISBLANK('Control Entry'!I37),"",'Control Entry'!I37)</f>
        <v/>
      </c>
      <c r="G30" s="85"/>
      <c r="H30" s="24" t="s">
        <v>29</v>
      </c>
      <c r="M30" s="16"/>
      <c r="N30" s="18"/>
      <c r="O30" s="18"/>
      <c r="P30" s="19"/>
      <c r="Q30" s="16"/>
      <c r="R30" s="18"/>
      <c r="S30" s="18"/>
      <c r="T30" s="19"/>
    </row>
    <row r="31" spans="1:22" ht="36" customHeight="1" x14ac:dyDescent="0.2">
      <c r="A31" s="34" t="str">
        <f>IF(ISBLANK('Control Entry'!D37),"",'Control Entry'!D37)</f>
        <v/>
      </c>
      <c r="B31" s="35" t="str">
        <f>'Control Entry'!N37</f>
        <v/>
      </c>
      <c r="C31" s="35" t="str">
        <f>'Control Entry'!O37</f>
        <v/>
      </c>
      <c r="D31" s="36" t="str">
        <f>IF(ISBLANK('Control Entry'!E37),"",'Control Entry'!E37)</f>
        <v/>
      </c>
      <c r="E31" s="28" t="str">
        <f>IF(ISBLANK('Control Entry'!G37),"",'Control Entry'!G37)</f>
        <v/>
      </c>
      <c r="F31" s="84" t="str">
        <f>IF(ISBLANK('Control Entry'!J37),"",'Control Entry'!J37)</f>
        <v/>
      </c>
      <c r="G31" s="85"/>
      <c r="H31" s="24" t="s">
        <v>29</v>
      </c>
      <c r="M31" s="17"/>
      <c r="P31" s="20"/>
      <c r="Q31" s="17"/>
      <c r="T31" s="20"/>
    </row>
    <row r="32" spans="1:22" ht="36" customHeight="1" thickBot="1" x14ac:dyDescent="0.25">
      <c r="A32" s="29"/>
      <c r="B32" s="30" t="str">
        <f>'Control Entry'!N37</f>
        <v/>
      </c>
      <c r="C32" s="30" t="str">
        <f>'Control Entry'!O37</f>
        <v/>
      </c>
      <c r="D32" s="31"/>
      <c r="E32" s="32" t="str">
        <f>IF(ISBLANK('Control Entry'!H37),"",'Control Entry'!H37)</f>
        <v/>
      </c>
      <c r="F32" s="88" t="str">
        <f>IF(ISBLANK('Control Entry'!K37),"",'Control Entry'!K37)</f>
        <v/>
      </c>
      <c r="G32" s="87"/>
      <c r="H32" s="24" t="s">
        <v>29</v>
      </c>
      <c r="M32" s="128" t="s">
        <v>82</v>
      </c>
      <c r="N32" s="129"/>
      <c r="O32" s="129"/>
      <c r="P32" s="130"/>
      <c r="Q32" s="131">
        <f>'Control Entry'!B3</f>
        <v>44700</v>
      </c>
      <c r="R32" s="132"/>
      <c r="S32" s="132"/>
      <c r="T32" s="133"/>
    </row>
    <row r="33" spans="1:22" ht="36" customHeight="1" x14ac:dyDescent="0.2">
      <c r="A33" s="123" t="s">
        <v>43</v>
      </c>
      <c r="B33" s="123"/>
      <c r="C33" s="123"/>
      <c r="D33" s="123"/>
      <c r="E33" s="123"/>
      <c r="F33" s="123"/>
      <c r="G33" s="123"/>
      <c r="H33" s="37"/>
      <c r="I33" s="37"/>
      <c r="M33" s="137" t="s">
        <v>86</v>
      </c>
      <c r="N33" s="138"/>
      <c r="O33" s="138"/>
      <c r="P33" s="138"/>
      <c r="Q33" s="139">
        <f>'Control Entry'!B4</f>
        <v>44870</v>
      </c>
      <c r="R33" s="126"/>
      <c r="S33" s="126"/>
      <c r="T33" s="126"/>
      <c r="V33" s="44"/>
    </row>
    <row r="34" spans="1:22" ht="36" customHeight="1" x14ac:dyDescent="0.2">
      <c r="A34"/>
      <c r="O34" s="15"/>
      <c r="P34" s="15"/>
      <c r="Q34" s="15"/>
      <c r="R34" s="42"/>
    </row>
    <row r="35" spans="1:22" ht="36" customHeight="1" x14ac:dyDescent="0.2">
      <c r="A35"/>
      <c r="N35" s="136"/>
      <c r="O35" s="136"/>
      <c r="P35" s="136"/>
      <c r="Q35" s="136"/>
      <c r="R35" s="136"/>
      <c r="S35" s="136"/>
      <c r="T35" s="136"/>
      <c r="U35" s="136"/>
    </row>
    <row r="36" spans="1:22" ht="36" customHeight="1" x14ac:dyDescent="0.15">
      <c r="A36"/>
    </row>
    <row r="37" spans="1:22" ht="36" customHeight="1" x14ac:dyDescent="0.15">
      <c r="A37"/>
    </row>
    <row r="38" spans="1:22" ht="36" customHeight="1" x14ac:dyDescent="0.2">
      <c r="A38"/>
      <c r="N38" s="15"/>
    </row>
    <row r="39" spans="1:22" ht="36" customHeight="1" x14ac:dyDescent="0.15">
      <c r="A39"/>
    </row>
    <row r="40" spans="1:22" ht="36" customHeight="1" x14ac:dyDescent="0.15">
      <c r="A40"/>
    </row>
  </sheetData>
  <sheetProtection algorithmName="SHA-512" hashValue="DiqJ+JOYBhoyZ1m99XU4D8NDihYKDATVeEm7KPe0KaI0+RIl/s0HliAQDBep4bratR5dvcZSaZLG/PV3ddwAYA==" saltValue="BtrAYkICphSvoTgltO5kCQ==" spinCount="100000" sheet="1" objects="1" scenarios="1" formatCells="0" selectLockedCells="1"/>
  <mergeCells count="42">
    <mergeCell ref="M32:P32"/>
    <mergeCell ref="Q32:T32"/>
    <mergeCell ref="A33:G33"/>
    <mergeCell ref="N35:U35"/>
    <mergeCell ref="L8:Q8"/>
    <mergeCell ref="M29:T29"/>
    <mergeCell ref="L15:U15"/>
    <mergeCell ref="S20:U20"/>
    <mergeCell ref="J25:N25"/>
    <mergeCell ref="P25:Q25"/>
    <mergeCell ref="S25:T25"/>
    <mergeCell ref="U25:V25"/>
    <mergeCell ref="K27:L27"/>
    <mergeCell ref="N27:O27"/>
    <mergeCell ref="P27:Q27"/>
    <mergeCell ref="S27:T27"/>
    <mergeCell ref="U27:V27"/>
    <mergeCell ref="M33:P33"/>
    <mergeCell ref="J24:N24"/>
    <mergeCell ref="A1:G1"/>
    <mergeCell ref="K2:U2"/>
    <mergeCell ref="M4:T4"/>
    <mergeCell ref="N5:O5"/>
    <mergeCell ref="R5:U5"/>
    <mergeCell ref="O3:R3"/>
    <mergeCell ref="S24:U24"/>
    <mergeCell ref="Q33:T33"/>
    <mergeCell ref="L20:N20"/>
    <mergeCell ref="L6:U6"/>
    <mergeCell ref="T8:U8"/>
    <mergeCell ref="L9:U9"/>
    <mergeCell ref="L10:U10"/>
    <mergeCell ref="L16:U16"/>
    <mergeCell ref="L22:N22"/>
    <mergeCell ref="S22:U22"/>
    <mergeCell ref="L11:N11"/>
    <mergeCell ref="S11:U11"/>
    <mergeCell ref="L12:N12"/>
    <mergeCell ref="S12:U12"/>
    <mergeCell ref="L13:N13"/>
    <mergeCell ref="R13:U13"/>
    <mergeCell ref="J21:U21"/>
  </mergeCells>
  <phoneticPr fontId="16" type="noConversion"/>
  <conditionalFormatting sqref="P22:U24">
    <cfRule type="expression" dxfId="14" priority="4">
      <formula>$S$3="#2"</formula>
    </cfRule>
  </conditionalFormatting>
  <conditionalFormatting sqref="K27:V27">
    <cfRule type="expression" dxfId="13" priority="3">
      <formula>$S$3="#2"</formula>
    </cfRule>
  </conditionalFormatting>
  <conditionalFormatting sqref="J22:N22">
    <cfRule type="expression" dxfId="12" priority="2">
      <formula>$S$3="#2"</formula>
    </cfRule>
  </conditionalFormatting>
  <conditionalFormatting sqref="J21:U21">
    <cfRule type="expression" dxfId="11" priority="1">
      <formula>$S$3&lt;&gt;"#2"</formula>
    </cfRule>
  </conditionalFormatting>
  <printOptions horizontalCentered="1" verticalCentered="1"/>
  <pageMargins left="0.2" right="0.2" top="0.2" bottom="0.2" header="0.51" footer="0.51"/>
  <pageSetup scale="45" orientation="landscape" horizontalDpi="4294967292" verticalDpi="4294967292"/>
  <drawing r:id="rId1"/>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4409A-CD2B-D847-B15D-2D9B75969139}">
  <sheetPr>
    <pageSetUpPr fitToPage="1"/>
  </sheetPr>
  <dimension ref="A1:V40"/>
  <sheetViews>
    <sheetView showGridLines="0" topLeftCell="A13" zoomScale="92" zoomScaleNormal="92" zoomScalePageLayoutView="92" workbookViewId="0">
      <selection activeCell="F15" sqref="F15"/>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customWidth="1"/>
    <col min="9" max="9" width="12" customWidth="1"/>
    <col min="18" max="19" width="8.83203125" customWidth="1"/>
  </cols>
  <sheetData>
    <row r="1" spans="1:22" ht="21" thickBot="1" x14ac:dyDescent="0.2">
      <c r="A1" s="122" t="s">
        <v>74</v>
      </c>
      <c r="B1" s="122"/>
      <c r="C1" s="122"/>
      <c r="D1" s="122"/>
      <c r="E1" s="122"/>
      <c r="F1" s="122"/>
      <c r="G1" s="122"/>
      <c r="H1" s="24" t="s">
        <v>29</v>
      </c>
    </row>
    <row r="2" spans="1:22" ht="33.75" customHeight="1" thickBot="1" x14ac:dyDescent="0.25">
      <c r="A2" s="65" t="s">
        <v>30</v>
      </c>
      <c r="B2" s="9" t="s">
        <v>3</v>
      </c>
      <c r="C2" s="9" t="s">
        <v>4</v>
      </c>
      <c r="D2" s="9" t="s">
        <v>25</v>
      </c>
      <c r="E2" s="9" t="s">
        <v>31</v>
      </c>
      <c r="F2" s="9" t="s">
        <v>59</v>
      </c>
      <c r="G2" s="65" t="s">
        <v>32</v>
      </c>
      <c r="H2" s="24" t="s">
        <v>29</v>
      </c>
      <c r="K2" s="126" t="s">
        <v>55</v>
      </c>
      <c r="L2" s="126"/>
      <c r="M2" s="126"/>
      <c r="N2" s="126"/>
      <c r="O2" s="126"/>
      <c r="P2" s="126"/>
      <c r="Q2" s="126"/>
      <c r="R2" s="126"/>
      <c r="S2" s="126"/>
      <c r="T2" s="126"/>
      <c r="U2" s="126"/>
    </row>
    <row r="3" spans="1:22" ht="36" customHeight="1" x14ac:dyDescent="0.45">
      <c r="A3" s="25"/>
      <c r="B3" s="26" t="str">
        <f>'Control Entry'!N41</f>
        <v/>
      </c>
      <c r="C3" s="26" t="str">
        <f>'Control Entry'!O41</f>
        <v/>
      </c>
      <c r="D3" s="27"/>
      <c r="E3" s="28" t="str">
        <f>IF(ISBLANK('Control Entry'!F41),"",'Control Entry'!F41)</f>
        <v/>
      </c>
      <c r="F3" s="84" t="str">
        <f>IF(ISBLANK('Control Entry'!I41),"",'Control Entry'!I41)</f>
        <v/>
      </c>
      <c r="G3" s="85"/>
      <c r="H3" s="24" t="s">
        <v>29</v>
      </c>
      <c r="K3" s="14"/>
      <c r="O3" s="111" t="s">
        <v>73</v>
      </c>
      <c r="P3" s="111"/>
      <c r="Q3" s="111"/>
      <c r="R3" s="111"/>
      <c r="S3" s="75" t="str">
        <f>IF('Control Entry'!D41&lt;&gt;0,"#3",IF(AND('Control Entry'!D41=0,'Control Entry'!D54&lt;&gt;0),"#1",""))</f>
        <v/>
      </c>
      <c r="T3" s="76"/>
      <c r="U3" s="38"/>
    </row>
    <row r="4" spans="1:22" ht="36" customHeight="1" x14ac:dyDescent="0.2">
      <c r="A4" s="34" t="str">
        <f>IF(ISBLANK('Control Entry'!D41),"",'Control Entry'!D41)</f>
        <v/>
      </c>
      <c r="B4" s="35" t="str">
        <f>'Control Entry'!N41</f>
        <v/>
      </c>
      <c r="C4" s="35" t="str">
        <f>'Control Entry'!O41</f>
        <v/>
      </c>
      <c r="D4" s="36" t="str">
        <f>IF(ISBLANK('Control Entry'!E41),"",'Control Entry'!E41)</f>
        <v/>
      </c>
      <c r="E4" s="28" t="str">
        <f>IF(ISBLANK('Control Entry'!G41),"",'Control Entry'!G41)</f>
        <v/>
      </c>
      <c r="F4" s="84" t="str">
        <f>IF(ISBLANK('Control Entry'!J41),"",'Control Entry'!J41)</f>
        <v/>
      </c>
      <c r="G4" s="85"/>
      <c r="H4" s="24" t="s">
        <v>29</v>
      </c>
      <c r="K4" s="14"/>
      <c r="M4" s="108" t="str">
        <f>IF(ISBLANK(brevet),"",brevet&amp;" km Randonnée")</f>
        <v>200 km Randonnée</v>
      </c>
      <c r="N4" s="108"/>
      <c r="O4" s="108"/>
      <c r="P4" s="108"/>
      <c r="Q4" s="108"/>
      <c r="R4" s="108"/>
      <c r="S4" s="108"/>
      <c r="T4" s="108"/>
      <c r="U4" s="39"/>
    </row>
    <row r="5" spans="1:22" ht="36" customHeight="1" thickBot="1" x14ac:dyDescent="0.25">
      <c r="A5" s="29"/>
      <c r="B5" s="30" t="str">
        <f>'Control Entry'!N41</f>
        <v/>
      </c>
      <c r="C5" s="30" t="str">
        <f>'Control Entry'!O41</f>
        <v/>
      </c>
      <c r="D5" s="31"/>
      <c r="E5" s="32" t="str">
        <f>IF(ISBLANK('Control Entry'!H41),"",'Control Entry'!H41)</f>
        <v/>
      </c>
      <c r="F5" s="88" t="str">
        <f>IF(ISBLANK('Control Entry'!K41),"",'Control Entry'!K41)</f>
        <v/>
      </c>
      <c r="G5" s="87"/>
      <c r="H5" s="24" t="s">
        <v>29</v>
      </c>
      <c r="K5" s="14"/>
      <c r="M5" s="15"/>
      <c r="N5" s="107" t="s">
        <v>47</v>
      </c>
      <c r="O5" s="107"/>
      <c r="P5" s="52">
        <f>IF(ISBLANK(Brevet_Number),"",Brevet_Number)</f>
        <v>5236</v>
      </c>
      <c r="Q5" s="53"/>
      <c r="R5" s="125" t="str">
        <f>IF(ISBLANK('Control Entry'!$B10),"",'Control Entry'!$B10)</f>
        <v/>
      </c>
      <c r="S5" s="125"/>
      <c r="T5" s="125"/>
      <c r="U5" s="125"/>
      <c r="V5" s="40"/>
    </row>
    <row r="6" spans="1:22" ht="36" customHeight="1" x14ac:dyDescent="0.2">
      <c r="A6" s="25"/>
      <c r="B6" s="26" t="str">
        <f>'Control Entry'!N42</f>
        <v/>
      </c>
      <c r="C6" s="26" t="str">
        <f>'Control Entry'!O42</f>
        <v/>
      </c>
      <c r="D6" s="33"/>
      <c r="E6" s="28" t="str">
        <f>IF(ISBLANK('Control Entry'!F42),"",'Control Entry'!F42)</f>
        <v/>
      </c>
      <c r="F6" s="84" t="str">
        <f>IF(ISBLANK('Control Entry'!I42),"",'Control Entry'!I42)</f>
        <v/>
      </c>
      <c r="G6" s="85"/>
      <c r="H6" s="24" t="s">
        <v>29</v>
      </c>
      <c r="K6" s="14"/>
      <c r="L6" s="114" t="str">
        <f>IF(ISBLANK(Brevet_Description),"",Brevet_Description)</f>
        <v>Permanent #232: VI Remembrance Day 2022</v>
      </c>
      <c r="M6" s="114"/>
      <c r="N6" s="114"/>
      <c r="O6" s="114"/>
      <c r="P6" s="114"/>
      <c r="Q6" s="114"/>
      <c r="R6" s="114"/>
      <c r="S6" s="114"/>
      <c r="T6" s="114"/>
      <c r="U6" s="114"/>
    </row>
    <row r="7" spans="1:22" ht="36" customHeight="1" x14ac:dyDescent="0.2">
      <c r="A7" s="34" t="str">
        <f>IF(ISBLANK('Control Entry'!D42),"",'Control Entry'!D42)</f>
        <v/>
      </c>
      <c r="B7" s="35" t="str">
        <f>'Control Entry'!N42</f>
        <v/>
      </c>
      <c r="C7" s="35" t="str">
        <f>'Control Entry'!O42</f>
        <v/>
      </c>
      <c r="D7" s="36" t="str">
        <f>IF(ISBLANK('Control Entry'!E42),"",'Control Entry'!E42)</f>
        <v/>
      </c>
      <c r="E7" s="28" t="str">
        <f>IF(ISBLANK('Control Entry'!G42),"",'Control Entry'!G42)</f>
        <v/>
      </c>
      <c r="F7" s="84" t="str">
        <f>IF(ISBLANK('Control Entry'!J42),"",'Control Entry'!J42)</f>
        <v/>
      </c>
      <c r="G7" s="85"/>
      <c r="H7" s="24" t="s">
        <v>29</v>
      </c>
    </row>
    <row r="8" spans="1:22" ht="36" customHeight="1" thickBot="1" x14ac:dyDescent="0.25">
      <c r="A8" s="29"/>
      <c r="B8" s="30" t="str">
        <f>'Control Entry'!N42</f>
        <v/>
      </c>
      <c r="C8" s="30" t="str">
        <f>'Control Entry'!O42</f>
        <v/>
      </c>
      <c r="D8" s="31"/>
      <c r="E8" s="32" t="str">
        <f>IF(ISBLANK('Control Entry'!H42),"",'Control Entry'!H42)</f>
        <v/>
      </c>
      <c r="F8" s="88" t="str">
        <f>IF(ISBLANK('Control Entry'!K42),"",'Control Entry'!K42)</f>
        <v/>
      </c>
      <c r="G8" s="87"/>
      <c r="H8" s="24" t="s">
        <v>29</v>
      </c>
      <c r="J8" s="15" t="s">
        <v>34</v>
      </c>
      <c r="L8" s="127"/>
      <c r="M8" s="127"/>
      <c r="N8" s="127"/>
      <c r="O8" s="127"/>
      <c r="P8" s="127"/>
      <c r="Q8" s="127"/>
      <c r="S8" s="41" t="s">
        <v>46</v>
      </c>
      <c r="T8" s="134"/>
      <c r="U8" s="134"/>
    </row>
    <row r="9" spans="1:22" ht="36" customHeight="1" thickBot="1" x14ac:dyDescent="0.3">
      <c r="A9" s="25"/>
      <c r="B9" s="26" t="str">
        <f>'Control Entry'!N43</f>
        <v/>
      </c>
      <c r="C9" s="26" t="str">
        <f>'Control Entry'!O43</f>
        <v/>
      </c>
      <c r="D9" s="33"/>
      <c r="E9" s="28" t="str">
        <f>IF(ISBLANK('Control Entry'!F43),"",'Control Entry'!F43)</f>
        <v/>
      </c>
      <c r="F9" s="84" t="str">
        <f>IF(ISBLANK('Control Entry'!I43),"",'Control Entry'!I43)</f>
        <v/>
      </c>
      <c r="G9" s="85"/>
      <c r="H9" s="24" t="s">
        <v>29</v>
      </c>
      <c r="J9" s="15" t="s">
        <v>35</v>
      </c>
      <c r="K9" s="15"/>
      <c r="L9" s="116" t="s">
        <v>54</v>
      </c>
      <c r="M9" s="116"/>
      <c r="N9" s="116"/>
      <c r="O9" s="116"/>
      <c r="P9" s="116"/>
      <c r="Q9" s="116"/>
      <c r="R9" s="116"/>
      <c r="S9" s="116"/>
      <c r="T9" s="116"/>
      <c r="U9" s="116"/>
    </row>
    <row r="10" spans="1:22" ht="36" customHeight="1" thickBot="1" x14ac:dyDescent="0.3">
      <c r="A10" s="34" t="str">
        <f>IF(ISBLANK('Control Entry'!D43),"",'Control Entry'!D43)</f>
        <v/>
      </c>
      <c r="B10" s="35" t="str">
        <f>'Control Entry'!N43</f>
        <v/>
      </c>
      <c r="C10" s="35" t="str">
        <f>'Control Entry'!O43</f>
        <v/>
      </c>
      <c r="D10" s="36" t="str">
        <f>IF(ISBLANK('Control Entry'!E43),"",'Control Entry'!E43)</f>
        <v/>
      </c>
      <c r="E10" s="28" t="str">
        <f>IF(ISBLANK('Control Entry'!G43),"",'Control Entry'!G43)</f>
        <v/>
      </c>
      <c r="F10" s="84" t="str">
        <f>IF(ISBLANK('Control Entry'!J43),"",'Control Entry'!J43)</f>
        <v/>
      </c>
      <c r="G10" s="85"/>
      <c r="H10" s="24" t="s">
        <v>29</v>
      </c>
      <c r="J10" s="15"/>
      <c r="K10" s="15"/>
      <c r="L10" s="117"/>
      <c r="M10" s="117"/>
      <c r="N10" s="117"/>
      <c r="O10" s="117"/>
      <c r="P10" s="117"/>
      <c r="Q10" s="117"/>
      <c r="R10" s="117"/>
      <c r="S10" s="117"/>
      <c r="T10" s="117"/>
      <c r="U10" s="117"/>
    </row>
    <row r="11" spans="1:22" ht="36" customHeight="1" thickBot="1" x14ac:dyDescent="0.3">
      <c r="A11" s="29"/>
      <c r="B11" s="30" t="str">
        <f>'Control Entry'!N43</f>
        <v/>
      </c>
      <c r="C11" s="30" t="str">
        <f>'Control Entry'!O43</f>
        <v/>
      </c>
      <c r="D11" s="31"/>
      <c r="E11" s="32" t="str">
        <f>IF(ISBLANK('Control Entry'!H43),"",'Control Entry'!H43)</f>
        <v/>
      </c>
      <c r="F11" s="88" t="str">
        <f>IF(ISBLANK('Control Entry'!K43),"",'Control Entry'!K43)</f>
        <v/>
      </c>
      <c r="G11" s="87"/>
      <c r="H11" s="24" t="s">
        <v>29</v>
      </c>
      <c r="J11" s="15" t="s">
        <v>36</v>
      </c>
      <c r="K11" s="15"/>
      <c r="L11" s="117"/>
      <c r="M11" s="117"/>
      <c r="N11" s="117"/>
      <c r="O11" s="15"/>
      <c r="P11" s="15" t="s">
        <v>37</v>
      </c>
      <c r="Q11" s="15"/>
      <c r="R11" s="15"/>
      <c r="S11" s="121"/>
      <c r="T11" s="121"/>
      <c r="U11" s="121"/>
    </row>
    <row r="12" spans="1:22" ht="36" customHeight="1" thickBot="1" x14ac:dyDescent="0.3">
      <c r="A12" s="25"/>
      <c r="B12" s="26" t="str">
        <f>'Control Entry'!N44</f>
        <v/>
      </c>
      <c r="C12" s="26" t="str">
        <f>'Control Entry'!O44</f>
        <v/>
      </c>
      <c r="D12" s="33"/>
      <c r="E12" s="28" t="str">
        <f>IF(ISBLANK('Control Entry'!F44),"",'Control Entry'!F44)</f>
        <v/>
      </c>
      <c r="F12" s="84" t="str">
        <f>IF(ISBLANK('Control Entry'!I44),"",'Control Entry'!I44)</f>
        <v/>
      </c>
      <c r="G12" s="85"/>
      <c r="H12" s="24" t="s">
        <v>29</v>
      </c>
      <c r="J12" s="15" t="s">
        <v>38</v>
      </c>
      <c r="K12" s="15"/>
      <c r="L12" s="117"/>
      <c r="M12" s="117"/>
      <c r="N12" s="117"/>
      <c r="O12" s="15"/>
      <c r="P12" s="15" t="s">
        <v>39</v>
      </c>
      <c r="Q12" s="15"/>
      <c r="R12" s="15"/>
      <c r="S12" s="121"/>
      <c r="T12" s="121"/>
      <c r="U12" s="121"/>
    </row>
    <row r="13" spans="1:22" ht="36" customHeight="1" thickBot="1" x14ac:dyDescent="0.3">
      <c r="A13" s="34" t="str">
        <f>IF(ISBLANK('Control Entry'!D44),"",'Control Entry'!D44)</f>
        <v/>
      </c>
      <c r="B13" s="35" t="str">
        <f>'Control Entry'!N44</f>
        <v/>
      </c>
      <c r="C13" s="35" t="str">
        <f>'Control Entry'!O44</f>
        <v/>
      </c>
      <c r="D13" s="36" t="str">
        <f>IF(ISBLANK('Control Entry'!E44),"",'Control Entry'!E44)</f>
        <v/>
      </c>
      <c r="E13" s="28" t="str">
        <f>IF(ISBLANK('Control Entry'!G44),"",'Control Entry'!G44)</f>
        <v/>
      </c>
      <c r="F13" s="84" t="str">
        <f>IF(ISBLANK('Control Entry'!J44),"",'Control Entry'!J44)</f>
        <v/>
      </c>
      <c r="G13" s="85"/>
      <c r="H13" s="24" t="s">
        <v>29</v>
      </c>
      <c r="J13" s="15" t="s">
        <v>40</v>
      </c>
      <c r="L13" s="120"/>
      <c r="M13" s="120"/>
      <c r="N13" s="120"/>
      <c r="P13" s="15" t="s">
        <v>41</v>
      </c>
      <c r="Q13" s="15"/>
      <c r="R13" s="124"/>
      <c r="S13" s="124"/>
      <c r="T13" s="124"/>
      <c r="U13" s="124"/>
    </row>
    <row r="14" spans="1:22" ht="36" customHeight="1" thickBot="1" x14ac:dyDescent="0.25">
      <c r="A14" s="29"/>
      <c r="B14" s="30" t="str">
        <f>'Control Entry'!N44</f>
        <v/>
      </c>
      <c r="C14" s="30" t="str">
        <f>'Control Entry'!O44</f>
        <v/>
      </c>
      <c r="D14" s="31"/>
      <c r="E14" s="32" t="str">
        <f>IF(ISBLANK('Control Entry'!H44),"",'Control Entry'!H44)</f>
        <v/>
      </c>
      <c r="F14" s="88" t="str">
        <f>IF(ISBLANK('Control Entry'!K44),"",'Control Entry'!K44)</f>
        <v/>
      </c>
      <c r="G14" s="87"/>
      <c r="H14" s="24" t="s">
        <v>29</v>
      </c>
    </row>
    <row r="15" spans="1:22" ht="36" customHeight="1" x14ac:dyDescent="0.2">
      <c r="A15" s="25"/>
      <c r="B15" s="26" t="str">
        <f>'Control Entry'!N45</f>
        <v/>
      </c>
      <c r="C15" s="26" t="str">
        <f>'Control Entry'!O45</f>
        <v/>
      </c>
      <c r="D15" s="33"/>
      <c r="E15" s="28" t="str">
        <f>IF(ISBLANK('Control Entry'!F45),"",'Control Entry'!F45)</f>
        <v/>
      </c>
      <c r="F15" s="84" t="str">
        <f>IF(ISBLANK('Control Entry'!I45),"",'Control Entry'!I45)</f>
        <v/>
      </c>
      <c r="G15" s="85"/>
      <c r="H15" s="24" t="s">
        <v>29</v>
      </c>
      <c r="J15" s="15"/>
      <c r="L15" s="113" t="s">
        <v>58</v>
      </c>
      <c r="M15" s="113"/>
      <c r="N15" s="113"/>
      <c r="O15" s="113"/>
      <c r="P15" s="113"/>
      <c r="Q15" s="113"/>
      <c r="R15" s="113"/>
      <c r="S15" s="113"/>
      <c r="T15" s="113"/>
      <c r="U15" s="113"/>
    </row>
    <row r="16" spans="1:22" ht="36" customHeight="1" thickBot="1" x14ac:dyDescent="0.25">
      <c r="A16" s="34" t="str">
        <f>IF(ISBLANK('Control Entry'!D45),"",'Control Entry'!D45)</f>
        <v/>
      </c>
      <c r="B16" s="35" t="str">
        <f>'Control Entry'!N45</f>
        <v/>
      </c>
      <c r="C16" s="35" t="str">
        <f>'Control Entry'!O45</f>
        <v/>
      </c>
      <c r="D16" s="36" t="str">
        <f>IF(ISBLANK('Control Entry'!E45),"",'Control Entry'!E45)</f>
        <v/>
      </c>
      <c r="E16" s="28" t="str">
        <f>IF(ISBLANK('Control Entry'!G45),"",'Control Entry'!G45)</f>
        <v/>
      </c>
      <c r="F16" s="84" t="str">
        <f>IF(ISBLANK('Control Entry'!J45),"",'Control Entry'!J45)</f>
        <v/>
      </c>
      <c r="G16" s="85"/>
      <c r="H16" s="24" t="s">
        <v>29</v>
      </c>
      <c r="L16" s="141"/>
      <c r="M16" s="141"/>
      <c r="N16" s="141"/>
      <c r="O16" s="141"/>
      <c r="P16" s="141"/>
      <c r="Q16" s="141"/>
      <c r="R16" s="141"/>
      <c r="S16" s="141"/>
      <c r="T16" s="141"/>
      <c r="U16" s="141"/>
    </row>
    <row r="17" spans="1:22" ht="36" customHeight="1" thickBot="1" x14ac:dyDescent="0.25">
      <c r="A17" s="29"/>
      <c r="B17" s="30" t="str">
        <f>'Control Entry'!N45</f>
        <v/>
      </c>
      <c r="C17" s="30" t="str">
        <f>'Control Entry'!O45</f>
        <v/>
      </c>
      <c r="D17" s="31"/>
      <c r="E17" s="32" t="str">
        <f>IF(ISBLANK('Control Entry'!H45),"",'Control Entry'!H45)</f>
        <v/>
      </c>
      <c r="F17" s="88" t="str">
        <f>IF(ISBLANK('Control Entry'!K45),"",'Control Entry'!K45)</f>
        <v/>
      </c>
      <c r="G17" s="87"/>
      <c r="H17" s="24" t="s">
        <v>29</v>
      </c>
    </row>
    <row r="18" spans="1:22" ht="36" customHeight="1" x14ac:dyDescent="0.2">
      <c r="A18" s="25"/>
      <c r="B18" s="26" t="str">
        <f>'Control Entry'!N46</f>
        <v/>
      </c>
      <c r="C18" s="26" t="str">
        <f>'Control Entry'!O46</f>
        <v/>
      </c>
      <c r="D18" s="33"/>
      <c r="E18" s="28" t="str">
        <f>IF(ISBLANK('Control Entry'!F46),"",'Control Entry'!F46)</f>
        <v/>
      </c>
      <c r="F18" s="84" t="str">
        <f>IF(ISBLANK('Control Entry'!I46),"",'Control Entry'!I46)</f>
        <v/>
      </c>
      <c r="G18" s="85"/>
      <c r="H18" s="24" t="s">
        <v>29</v>
      </c>
    </row>
    <row r="19" spans="1:22" ht="36" customHeight="1" x14ac:dyDescent="0.2">
      <c r="A19" s="34" t="str">
        <f>IF(ISBLANK('Control Entry'!D46),"",'Control Entry'!D46)</f>
        <v/>
      </c>
      <c r="B19" s="35" t="str">
        <f>'Control Entry'!N46</f>
        <v/>
      </c>
      <c r="C19" s="35" t="str">
        <f>'Control Entry'!O46</f>
        <v/>
      </c>
      <c r="D19" s="36" t="str">
        <f>IF(ISBLANK('Control Entry'!E46),"",'Control Entry'!E46)</f>
        <v/>
      </c>
      <c r="E19" s="28" t="str">
        <f>IF(ISBLANK('Control Entry'!G46),"",'Control Entry'!G46)</f>
        <v/>
      </c>
      <c r="F19" s="84" t="str">
        <f>IF(ISBLANK('Control Entry'!J46),"",'Control Entry'!J46)</f>
        <v/>
      </c>
      <c r="G19" s="85"/>
      <c r="H19" s="24" t="s">
        <v>29</v>
      </c>
    </row>
    <row r="20" spans="1:22" ht="36" customHeight="1" thickBot="1" x14ac:dyDescent="0.25">
      <c r="A20" s="29"/>
      <c r="B20" s="30" t="str">
        <f>'Control Entry'!N46</f>
        <v/>
      </c>
      <c r="C20" s="30" t="str">
        <f>'Control Entry'!O46</f>
        <v/>
      </c>
      <c r="D20" s="31"/>
      <c r="E20" s="32" t="str">
        <f>IF(ISBLANK('Control Entry'!H46),"",'Control Entry'!H46)</f>
        <v/>
      </c>
      <c r="F20" s="88" t="str">
        <f>IF(ISBLANK('Control Entry'!K46),"",'Control Entry'!K46)</f>
        <v/>
      </c>
      <c r="G20" s="87"/>
      <c r="H20" s="24" t="s">
        <v>29</v>
      </c>
      <c r="J20" s="50" t="s">
        <v>44</v>
      </c>
      <c r="K20" s="50"/>
      <c r="L20" s="135" t="str">
        <f>IF(ISBLANK('Control Entry'!B12),"",'Control Entry'!B12)</f>
        <v/>
      </c>
      <c r="M20" s="135"/>
      <c r="N20" s="135"/>
      <c r="P20" s="15" t="s">
        <v>0</v>
      </c>
      <c r="Q20" s="15"/>
      <c r="S20" s="112">
        <f>IF(ISBLANK('Control Entry'!B13),"",'Control Entry'!B13)</f>
        <v>0</v>
      </c>
      <c r="T20" s="112"/>
      <c r="U20" s="112"/>
    </row>
    <row r="21" spans="1:22" ht="36" customHeight="1" x14ac:dyDescent="0.2">
      <c r="A21" s="25"/>
      <c r="B21" s="26" t="str">
        <f>'Control Entry'!N47</f>
        <v/>
      </c>
      <c r="C21" s="26" t="str">
        <f>'Control Entry'!O47</f>
        <v/>
      </c>
      <c r="D21" s="33"/>
      <c r="E21" s="28" t="str">
        <f>IF(ISBLANK('Control Entry'!F47),"",'Control Entry'!F47)</f>
        <v/>
      </c>
      <c r="F21" s="84" t="str">
        <f>IF(ISBLANK('Control Entry'!I47),"",'Control Entry'!I47)</f>
        <v/>
      </c>
      <c r="G21" s="85"/>
      <c r="H21" s="24" t="s">
        <v>29</v>
      </c>
      <c r="J21" s="114" t="s">
        <v>90</v>
      </c>
      <c r="K21" s="114"/>
      <c r="L21" s="114"/>
      <c r="M21" s="114"/>
      <c r="N21" s="114"/>
      <c r="O21" s="114"/>
      <c r="P21" s="114"/>
      <c r="Q21" s="114"/>
      <c r="R21" s="114"/>
      <c r="S21" s="114"/>
      <c r="T21" s="114"/>
      <c r="U21" s="114"/>
    </row>
    <row r="22" spans="1:22" ht="36" customHeight="1" thickBot="1" x14ac:dyDescent="0.25">
      <c r="A22" s="34" t="str">
        <f>IF(ISBLANK('Control Entry'!D47),"",'Control Entry'!D47)</f>
        <v/>
      </c>
      <c r="B22" s="35" t="str">
        <f>'Control Entry'!N47</f>
        <v/>
      </c>
      <c r="C22" s="35" t="str">
        <f>'Control Entry'!O47</f>
        <v/>
      </c>
      <c r="D22" s="36" t="str">
        <f>IF(ISBLANK('Control Entry'!E47),"",'Control Entry'!E47)</f>
        <v/>
      </c>
      <c r="E22" s="28" t="str">
        <f>IF(ISBLANK('Control Entry'!G47),"",'Control Entry'!G47)</f>
        <v/>
      </c>
      <c r="F22" s="84" t="str">
        <f>IF(ISBLANK('Control Entry'!J47),"",'Control Entry'!J47)</f>
        <v/>
      </c>
      <c r="G22" s="85"/>
      <c r="H22" s="24" t="s">
        <v>29</v>
      </c>
      <c r="J22" s="50" t="s">
        <v>45</v>
      </c>
      <c r="K22" s="50"/>
      <c r="L22" s="89"/>
      <c r="M22" s="89"/>
      <c r="N22" s="89"/>
      <c r="P22" s="15" t="s">
        <v>1</v>
      </c>
      <c r="Q22" s="15"/>
      <c r="S22" s="115"/>
      <c r="T22" s="115"/>
      <c r="U22" s="115"/>
    </row>
    <row r="23" spans="1:22" ht="36" customHeight="1" thickBot="1" x14ac:dyDescent="0.25">
      <c r="A23" s="29"/>
      <c r="B23" s="30" t="str">
        <f>'Control Entry'!N47</f>
        <v/>
      </c>
      <c r="C23" s="30" t="str">
        <f>'Control Entry'!O47</f>
        <v/>
      </c>
      <c r="D23" s="31"/>
      <c r="E23" s="32" t="str">
        <f>IF(ISBLANK('Control Entry'!H47),"",'Control Entry'!H47)</f>
        <v/>
      </c>
      <c r="F23" s="88" t="str">
        <f>IF(ISBLANK('Control Entry'!K47),"",'Control Entry'!K47)</f>
        <v/>
      </c>
      <c r="G23" s="87"/>
      <c r="H23" s="24" t="s">
        <v>29</v>
      </c>
      <c r="J23" s="50"/>
      <c r="K23" s="50"/>
      <c r="L23" s="44"/>
      <c r="M23" s="44"/>
      <c r="N23" s="44"/>
      <c r="P23" s="15"/>
      <c r="Q23" s="15"/>
    </row>
    <row r="24" spans="1:22" ht="36" customHeight="1" thickBot="1" x14ac:dyDescent="0.25">
      <c r="A24" s="25"/>
      <c r="B24" s="26" t="str">
        <f>'Control Entry'!N48</f>
        <v/>
      </c>
      <c r="C24" s="26" t="str">
        <f>'Control Entry'!O48</f>
        <v/>
      </c>
      <c r="D24" s="33"/>
      <c r="E24" s="28" t="str">
        <f>IF(ISBLANK('Control Entry'!F48),"",'Control Entry'!F48)</f>
        <v/>
      </c>
      <c r="F24" s="84" t="str">
        <f>IF(ISBLANK('Control Entry'!I48),"",'Control Entry'!I48)</f>
        <v/>
      </c>
      <c r="G24" s="85"/>
      <c r="H24" s="24" t="s">
        <v>29</v>
      </c>
      <c r="J24" s="115"/>
      <c r="K24" s="115"/>
      <c r="L24" s="115"/>
      <c r="M24" s="115"/>
      <c r="N24" s="115"/>
      <c r="P24" s="15" t="s">
        <v>2</v>
      </c>
      <c r="Q24" s="15"/>
      <c r="S24" s="115"/>
      <c r="T24" s="115"/>
      <c r="U24" s="115"/>
    </row>
    <row r="25" spans="1:22" ht="36" customHeight="1" x14ac:dyDescent="0.2">
      <c r="A25" s="34" t="str">
        <f>IF(ISBLANK('Control Entry'!D48),"",'Control Entry'!D48)</f>
        <v/>
      </c>
      <c r="B25" s="35" t="str">
        <f>'Control Entry'!N48</f>
        <v/>
      </c>
      <c r="C25" s="35" t="str">
        <f>'Control Entry'!O48</f>
        <v/>
      </c>
      <c r="D25" s="36" t="str">
        <f>IF(ISBLANK('Control Entry'!E48),"",'Control Entry'!E48)</f>
        <v/>
      </c>
      <c r="E25" s="28" t="str">
        <f>IF(ISBLANK('Control Entry'!G48),"",'Control Entry'!G48)</f>
        <v/>
      </c>
      <c r="F25" s="84" t="str">
        <f>IF(ISBLANK('Control Entry'!J48),"",'Control Entry'!J48)</f>
        <v/>
      </c>
      <c r="G25" s="85"/>
      <c r="H25" s="24" t="s">
        <v>29</v>
      </c>
      <c r="J25" s="110" t="s">
        <v>17</v>
      </c>
      <c r="K25" s="110"/>
      <c r="L25" s="110"/>
      <c r="M25" s="110"/>
      <c r="N25" s="110"/>
      <c r="O25" s="46"/>
      <c r="P25" s="109"/>
      <c r="Q25" s="109"/>
      <c r="R25" s="46"/>
      <c r="S25" s="107"/>
      <c r="T25" s="107"/>
      <c r="U25" s="107"/>
      <c r="V25" s="107"/>
    </row>
    <row r="26" spans="1:22" ht="36" customHeight="1" thickBot="1" x14ac:dyDescent="0.25">
      <c r="A26" s="29"/>
      <c r="B26" s="30" t="str">
        <f>'Control Entry'!N48</f>
        <v/>
      </c>
      <c r="C26" s="30" t="str">
        <f>'Control Entry'!O48</f>
        <v/>
      </c>
      <c r="D26" s="31"/>
      <c r="E26" s="32" t="str">
        <f>IF(ISBLANK('Control Entry'!H48),"",'Control Entry'!H48)</f>
        <v/>
      </c>
      <c r="F26" s="88" t="str">
        <f>IF(ISBLANK('Control Entry'!K48),"",'Control Entry'!K48)</f>
        <v/>
      </c>
      <c r="G26" s="87"/>
      <c r="H26" s="24" t="s">
        <v>29</v>
      </c>
    </row>
    <row r="27" spans="1:22" ht="36" customHeight="1" x14ac:dyDescent="0.2">
      <c r="A27" s="25"/>
      <c r="B27" s="26" t="str">
        <f>'Control Entry'!N49</f>
        <v/>
      </c>
      <c r="C27" s="26" t="str">
        <f>'Control Entry'!O49</f>
        <v/>
      </c>
      <c r="D27" s="33"/>
      <c r="E27" s="28" t="str">
        <f>IF(ISBLANK('Control Entry'!F49),"",'Control Entry'!F49)</f>
        <v/>
      </c>
      <c r="F27" s="84" t="str">
        <f>IF(ISBLANK('Control Entry'!I49),"",'Control Entry'!I49)</f>
        <v/>
      </c>
      <c r="G27" s="85"/>
      <c r="H27" s="24" t="s">
        <v>29</v>
      </c>
      <c r="K27" s="108" t="s">
        <v>56</v>
      </c>
      <c r="L27" s="109"/>
      <c r="M27" s="45" t="s">
        <v>57</v>
      </c>
      <c r="N27" s="109" t="s">
        <v>49</v>
      </c>
      <c r="O27" s="109"/>
      <c r="P27" s="109" t="s">
        <v>50</v>
      </c>
      <c r="Q27" s="109"/>
      <c r="R27" s="46" t="s">
        <v>51</v>
      </c>
      <c r="S27" s="107" t="s">
        <v>52</v>
      </c>
      <c r="T27" s="107"/>
      <c r="U27" s="107" t="s">
        <v>53</v>
      </c>
      <c r="V27" s="107"/>
    </row>
    <row r="28" spans="1:22" ht="36" customHeight="1" x14ac:dyDescent="0.2">
      <c r="A28" s="34" t="str">
        <f>IF(ISBLANK('Control Entry'!D49),"",'Control Entry'!D49)</f>
        <v/>
      </c>
      <c r="B28" s="35" t="str">
        <f>'Control Entry'!N49</f>
        <v/>
      </c>
      <c r="C28" s="35" t="str">
        <f>'Control Entry'!O49</f>
        <v/>
      </c>
      <c r="D28" s="36" t="str">
        <f>IF(ISBLANK('Control Entry'!E49),"",'Control Entry'!E49)</f>
        <v/>
      </c>
      <c r="E28" s="28" t="str">
        <f>IF(ISBLANK('Control Entry'!G49),"",'Control Entry'!G49)</f>
        <v/>
      </c>
      <c r="F28" s="84" t="str">
        <f>IF(ISBLANK('Control Entry'!J49),"",'Control Entry'!J49)</f>
        <v/>
      </c>
      <c r="G28" s="85"/>
      <c r="H28" s="24" t="s">
        <v>29</v>
      </c>
    </row>
    <row r="29" spans="1:22" ht="36" customHeight="1" thickBot="1" x14ac:dyDescent="0.25">
      <c r="A29" s="29"/>
      <c r="B29" s="30" t="str">
        <f>'Control Entry'!N49</f>
        <v/>
      </c>
      <c r="C29" s="30" t="str">
        <f>'Control Entry'!O49</f>
        <v/>
      </c>
      <c r="D29" s="31"/>
      <c r="E29" s="32" t="str">
        <f>IF(ISBLANK('Control Entry'!H49),"",'Control Entry'!H49)</f>
        <v/>
      </c>
      <c r="F29" s="88" t="str">
        <f>IF(ISBLANK('Control Entry'!K49),"",'Control Entry'!K49)</f>
        <v/>
      </c>
      <c r="G29" s="87"/>
      <c r="H29" s="24" t="s">
        <v>29</v>
      </c>
      <c r="M29" s="136" t="s">
        <v>42</v>
      </c>
      <c r="N29" s="136"/>
      <c r="O29" s="136"/>
      <c r="P29" s="136"/>
      <c r="Q29" s="136"/>
      <c r="R29" s="136"/>
      <c r="S29" s="136"/>
      <c r="T29" s="136"/>
      <c r="U29" s="49"/>
    </row>
    <row r="30" spans="1:22" ht="36" customHeight="1" x14ac:dyDescent="0.2">
      <c r="A30" s="25"/>
      <c r="B30" s="26" t="str">
        <f>'Control Entry'!N50</f>
        <v/>
      </c>
      <c r="C30" s="26" t="str">
        <f>'Control Entry'!O50</f>
        <v/>
      </c>
      <c r="D30" s="33"/>
      <c r="E30" s="28" t="str">
        <f>IF(ISBLANK('Control Entry'!F50),"",'Control Entry'!F50)</f>
        <v/>
      </c>
      <c r="F30" s="84" t="str">
        <f>IF(ISBLANK('Control Entry'!I50),"",'Control Entry'!I50)</f>
        <v/>
      </c>
      <c r="G30" s="85"/>
      <c r="H30" s="24" t="s">
        <v>29</v>
      </c>
      <c r="M30" s="16"/>
      <c r="N30" s="18"/>
      <c r="O30" s="18"/>
      <c r="P30" s="19"/>
      <c r="Q30" s="16"/>
      <c r="R30" s="18"/>
      <c r="S30" s="18"/>
      <c r="T30" s="19"/>
    </row>
    <row r="31" spans="1:22" ht="36" customHeight="1" x14ac:dyDescent="0.2">
      <c r="A31" s="34" t="str">
        <f>IF(ISBLANK('Control Entry'!D50),"",'Control Entry'!D50)</f>
        <v/>
      </c>
      <c r="B31" s="35" t="str">
        <f>'Control Entry'!N50</f>
        <v/>
      </c>
      <c r="C31" s="35" t="str">
        <f>'Control Entry'!O50</f>
        <v/>
      </c>
      <c r="D31" s="36" t="str">
        <f>IF(ISBLANK('Control Entry'!E50),"",'Control Entry'!E50)</f>
        <v/>
      </c>
      <c r="E31" s="28" t="str">
        <f>IF(ISBLANK('Control Entry'!G50),"",'Control Entry'!G50)</f>
        <v/>
      </c>
      <c r="F31" s="84" t="str">
        <f>IF(ISBLANK('Control Entry'!J50),"",'Control Entry'!J50)</f>
        <v/>
      </c>
      <c r="G31" s="85"/>
      <c r="H31" s="24" t="s">
        <v>29</v>
      </c>
      <c r="M31" s="17"/>
      <c r="P31" s="20"/>
      <c r="Q31" s="17"/>
      <c r="T31" s="20"/>
    </row>
    <row r="32" spans="1:22" ht="36" customHeight="1" thickBot="1" x14ac:dyDescent="0.25">
      <c r="A32" s="29"/>
      <c r="B32" s="30" t="str">
        <f>'Control Entry'!N50</f>
        <v/>
      </c>
      <c r="C32" s="30" t="str">
        <f>'Control Entry'!O50</f>
        <v/>
      </c>
      <c r="D32" s="31"/>
      <c r="E32" s="32" t="str">
        <f>IF(ISBLANK('Control Entry'!H50),"",'Control Entry'!H50)</f>
        <v/>
      </c>
      <c r="F32" s="88" t="str">
        <f>IF(ISBLANK('Control Entry'!K50),"",'Control Entry'!K50)</f>
        <v/>
      </c>
      <c r="G32" s="87"/>
      <c r="H32" s="24" t="s">
        <v>29</v>
      </c>
      <c r="M32" s="128" t="s">
        <v>82</v>
      </c>
      <c r="N32" s="129"/>
      <c r="O32" s="129"/>
      <c r="P32" s="130"/>
      <c r="Q32" s="131">
        <f>'Control Entry'!B3</f>
        <v>44700</v>
      </c>
      <c r="R32" s="132"/>
      <c r="S32" s="132"/>
      <c r="T32" s="133"/>
    </row>
    <row r="33" spans="1:22" ht="36" customHeight="1" x14ac:dyDescent="0.2">
      <c r="A33" s="123" t="s">
        <v>43</v>
      </c>
      <c r="B33" s="123"/>
      <c r="C33" s="123"/>
      <c r="D33" s="123"/>
      <c r="E33" s="123"/>
      <c r="F33" s="123"/>
      <c r="G33" s="123"/>
      <c r="H33" s="37"/>
      <c r="I33" s="37"/>
      <c r="M33" s="137" t="s">
        <v>86</v>
      </c>
      <c r="N33" s="138"/>
      <c r="O33" s="138"/>
      <c r="P33" s="138"/>
      <c r="Q33" s="139">
        <f>'Control Entry'!B4</f>
        <v>44870</v>
      </c>
      <c r="R33" s="126"/>
      <c r="S33" s="126"/>
      <c r="T33" s="126"/>
      <c r="U33" s="81"/>
      <c r="V33" s="44"/>
    </row>
    <row r="34" spans="1:22" ht="36" customHeight="1" x14ac:dyDescent="0.2">
      <c r="A34"/>
      <c r="O34" s="15"/>
      <c r="P34" s="15"/>
      <c r="Q34" s="15"/>
      <c r="R34" s="42"/>
    </row>
    <row r="35" spans="1:22" ht="36" customHeight="1" x14ac:dyDescent="0.2">
      <c r="A35"/>
      <c r="N35" s="136"/>
      <c r="O35" s="136"/>
      <c r="P35" s="136"/>
      <c r="Q35" s="136"/>
      <c r="R35" s="136"/>
      <c r="S35" s="136"/>
      <c r="T35" s="136"/>
      <c r="U35" s="136"/>
    </row>
    <row r="36" spans="1:22" ht="36" customHeight="1" x14ac:dyDescent="0.15">
      <c r="A36"/>
    </row>
    <row r="37" spans="1:22" ht="36" customHeight="1" x14ac:dyDescent="0.15">
      <c r="A37"/>
    </row>
    <row r="38" spans="1:22" ht="36" customHeight="1" x14ac:dyDescent="0.2">
      <c r="A38"/>
      <c r="N38" s="15"/>
    </row>
    <row r="39" spans="1:22" ht="36" customHeight="1" x14ac:dyDescent="0.15">
      <c r="A39"/>
    </row>
    <row r="40" spans="1:22" ht="36" customHeight="1" x14ac:dyDescent="0.15">
      <c r="A40"/>
    </row>
  </sheetData>
  <sheetProtection algorithmName="SHA-512" hashValue="n04OlOPypxKiXZHfTF7SZ14P8gX/OWk/qktZJUCZqh+6Nv8BjLLr9UXJBNwuWtsY5jnC73Xiuu+JFtcLWZMoiA==" saltValue="FabpdyB7wrMR7nA5d9noMA==" spinCount="100000" sheet="1" objects="1" scenarios="1" formatCells="0" selectLockedCells="1"/>
  <mergeCells count="41">
    <mergeCell ref="Q32:T32"/>
    <mergeCell ref="A1:G1"/>
    <mergeCell ref="K2:U2"/>
    <mergeCell ref="M4:T4"/>
    <mergeCell ref="N5:O5"/>
    <mergeCell ref="R5:U5"/>
    <mergeCell ref="O3:R3"/>
    <mergeCell ref="L6:U6"/>
    <mergeCell ref="L8:Q8"/>
    <mergeCell ref="T8:U8"/>
    <mergeCell ref="L15:U15"/>
    <mergeCell ref="S20:U20"/>
    <mergeCell ref="L9:U9"/>
    <mergeCell ref="L10:U10"/>
    <mergeCell ref="L11:N11"/>
    <mergeCell ref="L16:U16"/>
    <mergeCell ref="M33:P33"/>
    <mergeCell ref="Q33:T33"/>
    <mergeCell ref="L20:N20"/>
    <mergeCell ref="A33:G33"/>
    <mergeCell ref="N35:U35"/>
    <mergeCell ref="U27:V27"/>
    <mergeCell ref="M29:T29"/>
    <mergeCell ref="K27:L27"/>
    <mergeCell ref="N27:O27"/>
    <mergeCell ref="P27:Q27"/>
    <mergeCell ref="S27:T27"/>
    <mergeCell ref="J25:N25"/>
    <mergeCell ref="P25:Q25"/>
    <mergeCell ref="S25:T25"/>
    <mergeCell ref="U25:V25"/>
    <mergeCell ref="M32:P32"/>
    <mergeCell ref="S22:U22"/>
    <mergeCell ref="J24:N24"/>
    <mergeCell ref="S24:U24"/>
    <mergeCell ref="S11:U11"/>
    <mergeCell ref="L12:N12"/>
    <mergeCell ref="S12:U12"/>
    <mergeCell ref="L13:N13"/>
    <mergeCell ref="R13:U13"/>
    <mergeCell ref="J21:U21"/>
  </mergeCells>
  <conditionalFormatting sqref="P22:U24">
    <cfRule type="expression" dxfId="10" priority="4">
      <formula>$S$3="#3"</formula>
    </cfRule>
  </conditionalFormatting>
  <conditionalFormatting sqref="J22:N22">
    <cfRule type="expression" dxfId="9" priority="3">
      <formula>$S$3="#3"</formula>
    </cfRule>
  </conditionalFormatting>
  <conditionalFormatting sqref="K27:V27">
    <cfRule type="expression" dxfId="8" priority="2">
      <formula>$S$3="#3"</formula>
    </cfRule>
  </conditionalFormatting>
  <conditionalFormatting sqref="J21:U21">
    <cfRule type="expression" dxfId="7" priority="1">
      <formula>$S$3&lt;&gt;"#3"</formula>
    </cfRule>
  </conditionalFormatting>
  <printOptions horizontalCentered="1" verticalCentered="1"/>
  <pageMargins left="0.2" right="0.2" top="0.2" bottom="0.2" header="0.51" footer="0.51"/>
  <pageSetup scale="45" orientation="landscape" horizontalDpi="4294967292" verticalDpi="4294967292"/>
  <ignoredErrors>
    <ignoredError sqref="L20" unlockedFormula="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6F177-8884-5D4F-9CF4-14229878B446}">
  <sheetPr>
    <pageSetUpPr fitToPage="1"/>
  </sheetPr>
  <dimension ref="A1:V40"/>
  <sheetViews>
    <sheetView showGridLines="0" topLeftCell="A2" zoomScale="92" zoomScaleNormal="92" zoomScalePageLayoutView="92" workbookViewId="0">
      <selection activeCell="L8" sqref="L8:Q8"/>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customWidth="1"/>
    <col min="9" max="9" width="12" customWidth="1"/>
    <col min="18" max="19" width="8.83203125" customWidth="1"/>
  </cols>
  <sheetData>
    <row r="1" spans="1:22" ht="21" thickBot="1" x14ac:dyDescent="0.2">
      <c r="A1" s="122" t="s">
        <v>74</v>
      </c>
      <c r="B1" s="122"/>
      <c r="C1" s="122"/>
      <c r="D1" s="122"/>
      <c r="E1" s="122"/>
      <c r="F1" s="122"/>
      <c r="G1" s="122"/>
      <c r="H1" s="24" t="s">
        <v>29</v>
      </c>
    </row>
    <row r="2" spans="1:22" ht="33.75" customHeight="1" thickBot="1" x14ac:dyDescent="0.25">
      <c r="A2" s="65" t="s">
        <v>30</v>
      </c>
      <c r="B2" s="9" t="s">
        <v>3</v>
      </c>
      <c r="C2" s="9" t="s">
        <v>4</v>
      </c>
      <c r="D2" s="9" t="s">
        <v>25</v>
      </c>
      <c r="E2" s="9" t="s">
        <v>31</v>
      </c>
      <c r="F2" s="9" t="s">
        <v>59</v>
      </c>
      <c r="G2" s="65" t="s">
        <v>32</v>
      </c>
      <c r="H2" s="24" t="s">
        <v>29</v>
      </c>
      <c r="K2" s="126" t="s">
        <v>55</v>
      </c>
      <c r="L2" s="126"/>
      <c r="M2" s="126"/>
      <c r="N2" s="126"/>
      <c r="O2" s="126"/>
      <c r="P2" s="126"/>
      <c r="Q2" s="126"/>
      <c r="R2" s="126"/>
      <c r="S2" s="126"/>
      <c r="T2" s="126"/>
      <c r="U2" s="126"/>
    </row>
    <row r="3" spans="1:22" ht="36" customHeight="1" x14ac:dyDescent="0.45">
      <c r="A3" s="25"/>
      <c r="B3" s="26" t="str">
        <f>'Control Entry'!N54</f>
        <v/>
      </c>
      <c r="C3" s="26" t="str">
        <f>'Control Entry'!O54</f>
        <v/>
      </c>
      <c r="D3" s="27"/>
      <c r="E3" s="28" t="str">
        <f>IF(ISBLANK('Control Entry'!F54),"",'Control Entry'!F54)</f>
        <v/>
      </c>
      <c r="F3" s="84" t="str">
        <f>IF(ISBLANK('Control Entry'!I54),"",'Control Entry'!I54)</f>
        <v/>
      </c>
      <c r="G3" s="85"/>
      <c r="H3" s="24" t="s">
        <v>29</v>
      </c>
      <c r="K3" s="14"/>
      <c r="O3" s="111" t="s">
        <v>73</v>
      </c>
      <c r="P3" s="111"/>
      <c r="Q3" s="111"/>
      <c r="R3" s="111"/>
      <c r="S3" s="75" t="str">
        <f>IF(AND('Control Entry'!D41=0,'Control Entry'!D54&lt;&gt;0),"#2",IF('Control Entry'!D54=0,"","#4"))</f>
        <v/>
      </c>
      <c r="T3" s="76"/>
      <c r="U3" s="38"/>
    </row>
    <row r="4" spans="1:22" ht="36" customHeight="1" x14ac:dyDescent="0.2">
      <c r="A4" s="34" t="str">
        <f>IF(ISBLANK('Control Entry'!D54),"",'Control Entry'!D54)</f>
        <v/>
      </c>
      <c r="B4" s="35" t="str">
        <f>'Control Entry'!N54</f>
        <v/>
      </c>
      <c r="C4" s="35" t="str">
        <f>'Control Entry'!O54</f>
        <v/>
      </c>
      <c r="D4" s="36" t="str">
        <f>IF(ISBLANK('Control Entry'!E54),"",'Control Entry'!E54)</f>
        <v/>
      </c>
      <c r="E4" s="28" t="str">
        <f>IF(ISBLANK('Control Entry'!G54),"",'Control Entry'!G54)</f>
        <v/>
      </c>
      <c r="F4" s="84" t="str">
        <f>IF(ISBLANK('Control Entry'!J54),"",'Control Entry'!J54)</f>
        <v/>
      </c>
      <c r="G4" s="85"/>
      <c r="H4" s="24" t="s">
        <v>29</v>
      </c>
      <c r="K4" s="14"/>
      <c r="M4" s="108" t="str">
        <f>IF(ISBLANK(brevet),"",brevet&amp;" km Randonnée")</f>
        <v>200 km Randonnée</v>
      </c>
      <c r="N4" s="108"/>
      <c r="O4" s="108"/>
      <c r="P4" s="108"/>
      <c r="Q4" s="108"/>
      <c r="R4" s="108"/>
      <c r="S4" s="108"/>
      <c r="T4" s="108"/>
      <c r="U4" s="39"/>
    </row>
    <row r="5" spans="1:22" ht="36" customHeight="1" thickBot="1" x14ac:dyDescent="0.25">
      <c r="A5" s="29"/>
      <c r="B5" s="30" t="str">
        <f>'Control Entry'!N54</f>
        <v/>
      </c>
      <c r="C5" s="30" t="str">
        <f>'Control Entry'!O54</f>
        <v/>
      </c>
      <c r="D5" s="31"/>
      <c r="E5" s="32" t="str">
        <f>IF(ISBLANK('Control Entry'!H54),"",'Control Entry'!H54)</f>
        <v/>
      </c>
      <c r="F5" s="88" t="str">
        <f>IF(ISBLANK('Control Entry'!K54),"",'Control Entry'!K54)</f>
        <v/>
      </c>
      <c r="G5" s="87"/>
      <c r="H5" s="24" t="s">
        <v>29</v>
      </c>
      <c r="K5" s="14"/>
      <c r="M5" s="15"/>
      <c r="N5" s="107" t="s">
        <v>47</v>
      </c>
      <c r="O5" s="107"/>
      <c r="P5" s="52">
        <f>IF(ISBLANK(Brevet_Number),"",Brevet_Number)</f>
        <v>5236</v>
      </c>
      <c r="Q5" s="53"/>
      <c r="R5" s="125" t="str">
        <f>IF(ISBLANK('Control Entry'!$B10),"",'Control Entry'!$B10)</f>
        <v/>
      </c>
      <c r="S5" s="125"/>
      <c r="T5" s="125"/>
      <c r="U5" s="125"/>
      <c r="V5" s="40"/>
    </row>
    <row r="6" spans="1:22" ht="36" customHeight="1" x14ac:dyDescent="0.2">
      <c r="A6" s="25"/>
      <c r="B6" s="26" t="str">
        <f>'Control Entry'!N55</f>
        <v/>
      </c>
      <c r="C6" s="26" t="str">
        <f>'Control Entry'!O55</f>
        <v/>
      </c>
      <c r="D6" s="33"/>
      <c r="E6" s="28" t="str">
        <f>IF(ISBLANK('Control Entry'!F55),"",'Control Entry'!F55)</f>
        <v/>
      </c>
      <c r="F6" s="84" t="str">
        <f>IF(ISBLANK('Control Entry'!I55),"",'Control Entry'!I55)</f>
        <v/>
      </c>
      <c r="G6" s="85"/>
      <c r="H6" s="24" t="s">
        <v>29</v>
      </c>
      <c r="K6" s="14"/>
      <c r="L6" s="114" t="str">
        <f>IF(ISBLANK(Brevet_Description),"",Brevet_Description)</f>
        <v>Permanent #232: VI Remembrance Day 2022</v>
      </c>
      <c r="M6" s="114"/>
      <c r="N6" s="114"/>
      <c r="O6" s="114"/>
      <c r="P6" s="114"/>
      <c r="Q6" s="114"/>
      <c r="R6" s="114"/>
      <c r="S6" s="114"/>
      <c r="T6" s="114"/>
      <c r="U6" s="114"/>
    </row>
    <row r="7" spans="1:22" ht="36" customHeight="1" x14ac:dyDescent="0.2">
      <c r="A7" s="34" t="str">
        <f>IF(ISBLANK('Control Entry'!D55),"",'Control Entry'!D55)</f>
        <v/>
      </c>
      <c r="B7" s="35" t="str">
        <f>'Control Entry'!N55</f>
        <v/>
      </c>
      <c r="C7" s="35" t="str">
        <f>'Control Entry'!O55</f>
        <v/>
      </c>
      <c r="D7" s="36" t="str">
        <f>IF(ISBLANK('Control Entry'!E55),"",'Control Entry'!E55)</f>
        <v/>
      </c>
      <c r="E7" s="28" t="str">
        <f>IF(ISBLANK('Control Entry'!G55),"",'Control Entry'!G55)</f>
        <v/>
      </c>
      <c r="F7" s="84" t="str">
        <f>IF(ISBLANK('Control Entry'!J55),"",'Control Entry'!J55)</f>
        <v/>
      </c>
      <c r="G7" s="85"/>
      <c r="H7" s="24" t="s">
        <v>29</v>
      </c>
    </row>
    <row r="8" spans="1:22" ht="36" customHeight="1" thickBot="1" x14ac:dyDescent="0.25">
      <c r="A8" s="29"/>
      <c r="B8" s="30" t="str">
        <f>'Control Entry'!N55</f>
        <v/>
      </c>
      <c r="C8" s="30" t="str">
        <f>'Control Entry'!O55</f>
        <v/>
      </c>
      <c r="D8" s="31"/>
      <c r="E8" s="32" t="str">
        <f>IF(ISBLANK('Control Entry'!H55),"",'Control Entry'!H55)</f>
        <v/>
      </c>
      <c r="F8" s="88" t="str">
        <f>IF(ISBLANK('Control Entry'!K55),"",'Control Entry'!K55)</f>
        <v/>
      </c>
      <c r="G8" s="87"/>
      <c r="H8" s="24" t="s">
        <v>29</v>
      </c>
      <c r="J8" s="15" t="s">
        <v>34</v>
      </c>
      <c r="L8" s="127"/>
      <c r="M8" s="127"/>
      <c r="N8" s="127"/>
      <c r="O8" s="127"/>
      <c r="P8" s="127"/>
      <c r="Q8" s="127"/>
      <c r="S8" s="41" t="s">
        <v>46</v>
      </c>
      <c r="T8" s="134"/>
      <c r="U8" s="134"/>
    </row>
    <row r="9" spans="1:22" ht="36" customHeight="1" thickBot="1" x14ac:dyDescent="0.3">
      <c r="A9" s="25"/>
      <c r="B9" s="26" t="str">
        <f>'Control Entry'!N56</f>
        <v/>
      </c>
      <c r="C9" s="26" t="str">
        <f>'Control Entry'!O56</f>
        <v/>
      </c>
      <c r="D9" s="33"/>
      <c r="E9" s="28" t="str">
        <f>IF(ISBLANK('Control Entry'!F56),"",'Control Entry'!F56)</f>
        <v/>
      </c>
      <c r="F9" s="84" t="str">
        <f>IF(ISBLANK('Control Entry'!I56),"",'Control Entry'!I56)</f>
        <v/>
      </c>
      <c r="G9" s="85"/>
      <c r="H9" s="24" t="s">
        <v>29</v>
      </c>
      <c r="J9" s="15" t="s">
        <v>35</v>
      </c>
      <c r="K9" s="15"/>
      <c r="L9" s="116" t="s">
        <v>54</v>
      </c>
      <c r="M9" s="116"/>
      <c r="N9" s="116"/>
      <c r="O9" s="116"/>
      <c r="P9" s="116"/>
      <c r="Q9" s="116"/>
      <c r="R9" s="116"/>
      <c r="S9" s="116"/>
      <c r="T9" s="116"/>
      <c r="U9" s="116"/>
    </row>
    <row r="10" spans="1:22" ht="36" customHeight="1" thickBot="1" x14ac:dyDescent="0.3">
      <c r="A10" s="34" t="str">
        <f>IF(ISBLANK('Control Entry'!D56),"",'Control Entry'!D56)</f>
        <v/>
      </c>
      <c r="B10" s="35" t="str">
        <f>'Control Entry'!N56</f>
        <v/>
      </c>
      <c r="C10" s="35" t="str">
        <f>'Control Entry'!O56</f>
        <v/>
      </c>
      <c r="D10" s="36" t="str">
        <f>IF(ISBLANK('Control Entry'!E56),"",'Control Entry'!E56)</f>
        <v/>
      </c>
      <c r="E10" s="28" t="str">
        <f>IF(ISBLANK('Control Entry'!G56),"",'Control Entry'!G56)</f>
        <v/>
      </c>
      <c r="F10" s="84" t="str">
        <f>IF(ISBLANK('Control Entry'!J56),"",'Control Entry'!J56)</f>
        <v/>
      </c>
      <c r="G10" s="85"/>
      <c r="H10" s="24" t="s">
        <v>29</v>
      </c>
      <c r="J10" s="15"/>
      <c r="K10" s="15"/>
      <c r="L10" s="117"/>
      <c r="M10" s="117"/>
      <c r="N10" s="117"/>
      <c r="O10" s="117"/>
      <c r="P10" s="117"/>
      <c r="Q10" s="117"/>
      <c r="R10" s="117"/>
      <c r="S10" s="117"/>
      <c r="T10" s="117"/>
      <c r="U10" s="117"/>
    </row>
    <row r="11" spans="1:22" ht="36" customHeight="1" thickBot="1" x14ac:dyDescent="0.3">
      <c r="A11" s="29"/>
      <c r="B11" s="30" t="str">
        <f>'Control Entry'!N56</f>
        <v/>
      </c>
      <c r="C11" s="30" t="str">
        <f>'Control Entry'!O56</f>
        <v/>
      </c>
      <c r="D11" s="31"/>
      <c r="E11" s="32" t="str">
        <f>IF(ISBLANK('Control Entry'!H56),"",'Control Entry'!H56)</f>
        <v/>
      </c>
      <c r="F11" s="88" t="str">
        <f>IF(ISBLANK('Control Entry'!K56),"",'Control Entry'!K56)</f>
        <v/>
      </c>
      <c r="G11" s="87"/>
      <c r="H11" s="24" t="s">
        <v>29</v>
      </c>
      <c r="J11" s="15" t="s">
        <v>36</v>
      </c>
      <c r="K11" s="15"/>
      <c r="L11" s="117"/>
      <c r="M11" s="117"/>
      <c r="N11" s="117"/>
      <c r="O11" s="15"/>
      <c r="P11" s="15" t="s">
        <v>37</v>
      </c>
      <c r="Q11" s="15"/>
      <c r="R11" s="15"/>
      <c r="S11" s="121"/>
      <c r="T11" s="121"/>
      <c r="U11" s="121"/>
    </row>
    <row r="12" spans="1:22" ht="36" customHeight="1" thickBot="1" x14ac:dyDescent="0.3">
      <c r="A12" s="25"/>
      <c r="B12" s="26" t="str">
        <f>'Control Entry'!N57</f>
        <v/>
      </c>
      <c r="C12" s="26" t="str">
        <f>'Control Entry'!O57</f>
        <v/>
      </c>
      <c r="D12" s="33"/>
      <c r="E12" s="28" t="str">
        <f>IF(ISBLANK('Control Entry'!F57),"",'Control Entry'!F57)</f>
        <v/>
      </c>
      <c r="F12" s="84" t="str">
        <f>IF(ISBLANK('Control Entry'!I57),"",'Control Entry'!I57)</f>
        <v/>
      </c>
      <c r="G12" s="85"/>
      <c r="H12" s="24" t="s">
        <v>29</v>
      </c>
      <c r="J12" s="15" t="s">
        <v>38</v>
      </c>
      <c r="K12" s="15"/>
      <c r="L12" s="117"/>
      <c r="M12" s="117"/>
      <c r="N12" s="117"/>
      <c r="O12" s="15"/>
      <c r="P12" s="15" t="s">
        <v>39</v>
      </c>
      <c r="Q12" s="15"/>
      <c r="R12" s="15"/>
      <c r="S12" s="121"/>
      <c r="T12" s="121"/>
      <c r="U12" s="121"/>
    </row>
    <row r="13" spans="1:22" ht="36" customHeight="1" thickBot="1" x14ac:dyDescent="0.3">
      <c r="A13" s="34" t="str">
        <f>IF(ISBLANK('Control Entry'!D57),"",'Control Entry'!D57)</f>
        <v/>
      </c>
      <c r="B13" s="35" t="str">
        <f>'Control Entry'!N57</f>
        <v/>
      </c>
      <c r="C13" s="35" t="str">
        <f>'Control Entry'!O57</f>
        <v/>
      </c>
      <c r="D13" s="36" t="str">
        <f>IF(ISBLANK('Control Entry'!E57),"",'Control Entry'!E57)</f>
        <v/>
      </c>
      <c r="E13" s="28" t="str">
        <f>IF(ISBLANK('Control Entry'!G57),"",'Control Entry'!G57)</f>
        <v/>
      </c>
      <c r="F13" s="84" t="str">
        <f>IF(ISBLANK('Control Entry'!J57),"",'Control Entry'!J57)</f>
        <v/>
      </c>
      <c r="G13" s="85"/>
      <c r="H13" s="24" t="s">
        <v>29</v>
      </c>
      <c r="J13" s="15" t="s">
        <v>40</v>
      </c>
      <c r="L13" s="120"/>
      <c r="M13" s="120"/>
      <c r="N13" s="120"/>
      <c r="P13" s="15" t="s">
        <v>41</v>
      </c>
      <c r="Q13" s="15"/>
      <c r="R13" s="124"/>
      <c r="S13" s="124"/>
      <c r="T13" s="124"/>
      <c r="U13" s="124"/>
    </row>
    <row r="14" spans="1:22" ht="36" customHeight="1" thickBot="1" x14ac:dyDescent="0.25">
      <c r="A14" s="29"/>
      <c r="B14" s="30" t="str">
        <f>'Control Entry'!N57</f>
        <v/>
      </c>
      <c r="C14" s="30" t="str">
        <f>'Control Entry'!O57</f>
        <v/>
      </c>
      <c r="D14" s="31"/>
      <c r="E14" s="32" t="str">
        <f>IF(ISBLANK('Control Entry'!H57),"",'Control Entry'!H57)</f>
        <v/>
      </c>
      <c r="F14" s="88" t="str">
        <f>IF(ISBLANK('Control Entry'!K57),"",'Control Entry'!K57)</f>
        <v/>
      </c>
      <c r="G14" s="87"/>
      <c r="H14" s="24" t="s">
        <v>29</v>
      </c>
    </row>
    <row r="15" spans="1:22" ht="36" customHeight="1" x14ac:dyDescent="0.2">
      <c r="A15" s="25"/>
      <c r="B15" s="26" t="str">
        <f>'Control Entry'!N58</f>
        <v/>
      </c>
      <c r="C15" s="26" t="str">
        <f>'Control Entry'!O58</f>
        <v/>
      </c>
      <c r="D15" s="33"/>
      <c r="E15" s="28" t="str">
        <f>IF(ISBLANK('Control Entry'!F58),"",'Control Entry'!F58)</f>
        <v/>
      </c>
      <c r="F15" s="84" t="str">
        <f>IF(ISBLANK('Control Entry'!I58),"",'Control Entry'!I58)</f>
        <v/>
      </c>
      <c r="G15" s="85"/>
      <c r="H15" s="24" t="s">
        <v>29</v>
      </c>
      <c r="J15" s="15"/>
      <c r="L15" s="113" t="s">
        <v>58</v>
      </c>
      <c r="M15" s="113"/>
      <c r="N15" s="113"/>
      <c r="O15" s="113"/>
      <c r="P15" s="113"/>
      <c r="Q15" s="113"/>
      <c r="R15" s="113"/>
      <c r="S15" s="113"/>
      <c r="T15" s="113"/>
      <c r="U15" s="113"/>
    </row>
    <row r="16" spans="1:22" ht="36" customHeight="1" thickBot="1" x14ac:dyDescent="0.25">
      <c r="A16" s="34" t="str">
        <f>IF(ISBLANK('Control Entry'!D58),"",'Control Entry'!D58)</f>
        <v/>
      </c>
      <c r="B16" s="35" t="str">
        <f>'Control Entry'!N58</f>
        <v/>
      </c>
      <c r="C16" s="35" t="str">
        <f>'Control Entry'!O58</f>
        <v/>
      </c>
      <c r="D16" s="36" t="str">
        <f>IF(ISBLANK('Control Entry'!E58),"",'Control Entry'!E58)</f>
        <v/>
      </c>
      <c r="E16" s="28" t="str">
        <f>IF(ISBLANK('Control Entry'!G58),"",'Control Entry'!G58)</f>
        <v/>
      </c>
      <c r="F16" s="84" t="str">
        <f>IF(ISBLANK('Control Entry'!J58),"",'Control Entry'!J58)</f>
        <v/>
      </c>
      <c r="G16" s="85"/>
      <c r="H16" s="24" t="s">
        <v>29</v>
      </c>
      <c r="L16" s="141"/>
      <c r="M16" s="141"/>
      <c r="N16" s="141"/>
      <c r="O16" s="141"/>
      <c r="P16" s="141"/>
      <c r="Q16" s="141"/>
      <c r="R16" s="141"/>
      <c r="S16" s="141"/>
      <c r="T16" s="141"/>
      <c r="U16" s="141"/>
    </row>
    <row r="17" spans="1:22" ht="36" customHeight="1" thickBot="1" x14ac:dyDescent="0.25">
      <c r="A17" s="29"/>
      <c r="B17" s="30" t="str">
        <f>'Control Entry'!N58</f>
        <v/>
      </c>
      <c r="C17" s="30" t="str">
        <f>'Control Entry'!O58</f>
        <v/>
      </c>
      <c r="D17" s="31"/>
      <c r="E17" s="32" t="str">
        <f>IF(ISBLANK('Control Entry'!H58),"",'Control Entry'!H58)</f>
        <v/>
      </c>
      <c r="F17" s="88" t="str">
        <f>IF(ISBLANK('Control Entry'!K58),"",'Control Entry'!K58)</f>
        <v/>
      </c>
      <c r="G17" s="87"/>
      <c r="H17" s="24" t="s">
        <v>29</v>
      </c>
    </row>
    <row r="18" spans="1:22" ht="36" customHeight="1" x14ac:dyDescent="0.2">
      <c r="A18" s="25"/>
      <c r="B18" s="26" t="str">
        <f>'Control Entry'!N59</f>
        <v/>
      </c>
      <c r="C18" s="26" t="str">
        <f>'Control Entry'!O59</f>
        <v/>
      </c>
      <c r="D18" s="33"/>
      <c r="E18" s="28" t="str">
        <f>IF(ISBLANK('Control Entry'!F59),"",'Control Entry'!F59)</f>
        <v/>
      </c>
      <c r="F18" s="84" t="str">
        <f>IF(ISBLANK('Control Entry'!I59),"",'Control Entry'!I59)</f>
        <v/>
      </c>
      <c r="G18" s="85"/>
      <c r="H18" s="24" t="s">
        <v>29</v>
      </c>
    </row>
    <row r="19" spans="1:22" ht="36" customHeight="1" x14ac:dyDescent="0.2">
      <c r="A19" s="34" t="str">
        <f>IF(ISBLANK('Control Entry'!D59),"",'Control Entry'!D59)</f>
        <v/>
      </c>
      <c r="B19" s="35" t="str">
        <f>'Control Entry'!N59</f>
        <v/>
      </c>
      <c r="C19" s="35" t="str">
        <f>'Control Entry'!O59</f>
        <v/>
      </c>
      <c r="D19" s="36" t="str">
        <f>IF(ISBLANK('Control Entry'!E59),"",'Control Entry'!E59)</f>
        <v/>
      </c>
      <c r="E19" s="28" t="str">
        <f>IF(ISBLANK('Control Entry'!G59),"",'Control Entry'!G59)</f>
        <v/>
      </c>
      <c r="F19" s="84" t="str">
        <f>IF(ISBLANK('Control Entry'!J59),"",'Control Entry'!J59)</f>
        <v/>
      </c>
      <c r="G19" s="85"/>
      <c r="H19" s="24" t="s">
        <v>29</v>
      </c>
    </row>
    <row r="20" spans="1:22" ht="36" customHeight="1" thickBot="1" x14ac:dyDescent="0.25">
      <c r="A20" s="29"/>
      <c r="B20" s="30" t="str">
        <f>'Control Entry'!N59</f>
        <v/>
      </c>
      <c r="C20" s="30" t="str">
        <f>'Control Entry'!O59</f>
        <v/>
      </c>
      <c r="D20" s="31"/>
      <c r="E20" s="32" t="str">
        <f>IF(ISBLANK('Control Entry'!H59),"",'Control Entry'!H59)</f>
        <v/>
      </c>
      <c r="F20" s="88" t="str">
        <f>IF(ISBLANK('Control Entry'!K59),"",'Control Entry'!K59)</f>
        <v/>
      </c>
      <c r="G20" s="87"/>
      <c r="H20" s="24" t="s">
        <v>29</v>
      </c>
      <c r="J20" s="50" t="s">
        <v>44</v>
      </c>
      <c r="K20" s="50"/>
      <c r="L20" s="135" t="str">
        <f>IF(ISBLANK('Control Entry'!B12),"",'Control Entry'!B12)</f>
        <v/>
      </c>
      <c r="M20" s="135"/>
      <c r="N20" s="135"/>
      <c r="P20" s="15" t="s">
        <v>0</v>
      </c>
      <c r="Q20" s="15"/>
      <c r="S20" s="112">
        <f>IF(ISBLANK('Control Entry'!B13),"",'Control Entry'!B13)</f>
        <v>0</v>
      </c>
      <c r="T20" s="112"/>
      <c r="U20" s="112"/>
    </row>
    <row r="21" spans="1:22" ht="36" customHeight="1" x14ac:dyDescent="0.2">
      <c r="A21" s="25"/>
      <c r="B21" s="26" t="str">
        <f>'Control Entry'!N60</f>
        <v/>
      </c>
      <c r="C21" s="26" t="str">
        <f>'Control Entry'!O60</f>
        <v/>
      </c>
      <c r="D21" s="33"/>
      <c r="E21" s="28" t="str">
        <f>IF(ISBLANK('Control Entry'!F60),"",'Control Entry'!F60)</f>
        <v/>
      </c>
      <c r="F21" s="84" t="str">
        <f>IF(ISBLANK('Control Entry'!I60),"",'Control Entry'!I60)</f>
        <v/>
      </c>
      <c r="G21" s="85"/>
      <c r="H21" s="24" t="s">
        <v>29</v>
      </c>
      <c r="J21" s="114" t="s">
        <v>90</v>
      </c>
      <c r="K21" s="114"/>
      <c r="L21" s="114"/>
      <c r="M21" s="114"/>
      <c r="N21" s="114"/>
      <c r="O21" s="114"/>
      <c r="P21" s="114"/>
      <c r="Q21" s="114"/>
      <c r="R21" s="114"/>
      <c r="S21" s="114"/>
      <c r="T21" s="114"/>
      <c r="U21" s="114"/>
    </row>
    <row r="22" spans="1:22" ht="36" customHeight="1" thickBot="1" x14ac:dyDescent="0.25">
      <c r="A22" s="34" t="str">
        <f>IF(ISBLANK('Control Entry'!D60),"",'Control Entry'!D60)</f>
        <v/>
      </c>
      <c r="B22" s="35" t="str">
        <f>'Control Entry'!N60</f>
        <v/>
      </c>
      <c r="C22" s="35" t="str">
        <f>'Control Entry'!O60</f>
        <v/>
      </c>
      <c r="D22" s="36" t="str">
        <f>IF(ISBLANK('Control Entry'!E60),"",'Control Entry'!E60)</f>
        <v/>
      </c>
      <c r="E22" s="28" t="str">
        <f>IF(ISBLANK('Control Entry'!G60),"",'Control Entry'!G60)</f>
        <v/>
      </c>
      <c r="F22" s="84" t="str">
        <f>IF(ISBLANK('Control Entry'!J60),"",'Control Entry'!J60)</f>
        <v/>
      </c>
      <c r="G22" s="85"/>
      <c r="H22" s="24" t="s">
        <v>29</v>
      </c>
      <c r="J22" s="15" t="s">
        <v>45</v>
      </c>
      <c r="K22" s="15"/>
      <c r="M22" s="115"/>
      <c r="N22" s="115"/>
      <c r="O22" s="115"/>
      <c r="P22" s="15" t="s">
        <v>1</v>
      </c>
      <c r="Q22" s="15"/>
      <c r="S22" s="115"/>
      <c r="T22" s="115"/>
      <c r="U22" s="115"/>
    </row>
    <row r="23" spans="1:22" ht="36" customHeight="1" thickBot="1" x14ac:dyDescent="0.25">
      <c r="A23" s="29"/>
      <c r="B23" s="30" t="str">
        <f>'Control Entry'!N60</f>
        <v/>
      </c>
      <c r="C23" s="30" t="str">
        <f>'Control Entry'!O60</f>
        <v/>
      </c>
      <c r="D23" s="31"/>
      <c r="E23" s="32" t="str">
        <f>IF(ISBLANK('Control Entry'!H60),"",'Control Entry'!H60)</f>
        <v/>
      </c>
      <c r="F23" s="88" t="str">
        <f>IF(ISBLANK('Control Entry'!K60),"",'Control Entry'!K60)</f>
        <v/>
      </c>
      <c r="G23" s="87"/>
      <c r="H23" s="24" t="s">
        <v>29</v>
      </c>
      <c r="J23" s="50"/>
      <c r="K23" s="50"/>
      <c r="L23" s="44"/>
      <c r="M23" s="44"/>
      <c r="N23" s="44"/>
      <c r="P23" s="15"/>
      <c r="Q23" s="15"/>
    </row>
    <row r="24" spans="1:22" ht="36" customHeight="1" thickBot="1" x14ac:dyDescent="0.25">
      <c r="A24" s="25"/>
      <c r="B24" s="26" t="str">
        <f>'Control Entry'!N61</f>
        <v/>
      </c>
      <c r="C24" s="26" t="str">
        <f>'Control Entry'!O61</f>
        <v/>
      </c>
      <c r="D24" s="33"/>
      <c r="E24" s="28" t="str">
        <f>IF(ISBLANK('Control Entry'!F61),"",'Control Entry'!F61)</f>
        <v/>
      </c>
      <c r="F24" s="84" t="str">
        <f>IF(ISBLANK('Control Entry'!I61),"",'Control Entry'!I61)</f>
        <v/>
      </c>
      <c r="G24" s="85"/>
      <c r="H24" s="24" t="s">
        <v>29</v>
      </c>
      <c r="J24" s="115"/>
      <c r="K24" s="115"/>
      <c r="L24" s="115"/>
      <c r="M24" s="115"/>
      <c r="N24" s="115"/>
      <c r="P24" s="15" t="s">
        <v>2</v>
      </c>
      <c r="Q24" s="15"/>
      <c r="S24" s="115"/>
      <c r="T24" s="115"/>
      <c r="U24" s="115"/>
    </row>
    <row r="25" spans="1:22" ht="36" customHeight="1" x14ac:dyDescent="0.2">
      <c r="A25" s="34" t="str">
        <f>IF(ISBLANK('Control Entry'!D61),"",'Control Entry'!D61)</f>
        <v/>
      </c>
      <c r="B25" s="35" t="str">
        <f>'Control Entry'!N61</f>
        <v/>
      </c>
      <c r="C25" s="35" t="str">
        <f>'Control Entry'!O61</f>
        <v/>
      </c>
      <c r="D25" s="36" t="str">
        <f>IF(ISBLANK('Control Entry'!E61),"",'Control Entry'!E61)</f>
        <v/>
      </c>
      <c r="E25" s="28" t="str">
        <f>IF(ISBLANK('Control Entry'!G61),"",'Control Entry'!G61)</f>
        <v/>
      </c>
      <c r="F25" s="84" t="str">
        <f>IF(ISBLANK('Control Entry'!J61),"",'Control Entry'!J61)</f>
        <v/>
      </c>
      <c r="G25" s="85"/>
      <c r="H25" s="24" t="s">
        <v>29</v>
      </c>
      <c r="J25" s="110" t="s">
        <v>17</v>
      </c>
      <c r="K25" s="110"/>
      <c r="L25" s="110"/>
      <c r="M25" s="110"/>
      <c r="N25" s="110"/>
      <c r="O25" s="46"/>
      <c r="P25" s="109"/>
      <c r="Q25" s="109"/>
      <c r="R25" s="46"/>
      <c r="S25" s="107"/>
      <c r="T25" s="107"/>
      <c r="U25" s="107"/>
      <c r="V25" s="107"/>
    </row>
    <row r="26" spans="1:22" ht="36" customHeight="1" thickBot="1" x14ac:dyDescent="0.25">
      <c r="A26" s="29"/>
      <c r="B26" s="30" t="str">
        <f>'Control Entry'!N61</f>
        <v/>
      </c>
      <c r="C26" s="30" t="str">
        <f>'Control Entry'!O61</f>
        <v/>
      </c>
      <c r="D26" s="31"/>
      <c r="E26" s="32" t="str">
        <f>IF(ISBLANK('Control Entry'!H61),"",'Control Entry'!H61)</f>
        <v/>
      </c>
      <c r="F26" s="88" t="str">
        <f>IF(ISBLANK('Control Entry'!K61),"",'Control Entry'!K61)</f>
        <v/>
      </c>
      <c r="G26" s="87"/>
      <c r="H26" s="24" t="s">
        <v>29</v>
      </c>
    </row>
    <row r="27" spans="1:22" ht="36" customHeight="1" x14ac:dyDescent="0.2">
      <c r="A27" s="25"/>
      <c r="B27" s="26" t="str">
        <f>'Control Entry'!N62</f>
        <v/>
      </c>
      <c r="C27" s="26" t="str">
        <f>'Control Entry'!O62</f>
        <v/>
      </c>
      <c r="D27" s="33"/>
      <c r="E27" s="28" t="str">
        <f>IF(ISBLANK('Control Entry'!F62),"",'Control Entry'!F62)</f>
        <v/>
      </c>
      <c r="F27" s="84" t="str">
        <f>IF(ISBLANK('Control Entry'!I62),"",'Control Entry'!I62)</f>
        <v/>
      </c>
      <c r="G27" s="85"/>
      <c r="H27" s="24" t="s">
        <v>29</v>
      </c>
      <c r="K27" s="108" t="s">
        <v>56</v>
      </c>
      <c r="L27" s="109"/>
      <c r="M27" s="45" t="s">
        <v>57</v>
      </c>
      <c r="N27" s="109" t="s">
        <v>49</v>
      </c>
      <c r="O27" s="109"/>
      <c r="P27" s="109" t="s">
        <v>50</v>
      </c>
      <c r="Q27" s="109"/>
      <c r="R27" s="46" t="s">
        <v>51</v>
      </c>
      <c r="S27" s="107" t="s">
        <v>52</v>
      </c>
      <c r="T27" s="107"/>
      <c r="U27" s="107" t="s">
        <v>53</v>
      </c>
      <c r="V27" s="107"/>
    </row>
    <row r="28" spans="1:22" ht="36" customHeight="1" x14ac:dyDescent="0.2">
      <c r="A28" s="34" t="str">
        <f>IF(ISBLANK('Control Entry'!D62),"",'Control Entry'!D62)</f>
        <v/>
      </c>
      <c r="B28" s="35" t="str">
        <f>'Control Entry'!N62</f>
        <v/>
      </c>
      <c r="C28" s="35" t="str">
        <f>'Control Entry'!O62</f>
        <v/>
      </c>
      <c r="D28" s="36" t="str">
        <f>IF(ISBLANK('Control Entry'!E62),"",'Control Entry'!E62)</f>
        <v/>
      </c>
      <c r="E28" s="28" t="str">
        <f>IF(ISBLANK('Control Entry'!G62),"",'Control Entry'!G62)</f>
        <v/>
      </c>
      <c r="F28" s="84" t="str">
        <f>IF(ISBLANK('Control Entry'!J62),"",'Control Entry'!J62)</f>
        <v/>
      </c>
      <c r="G28" s="85"/>
      <c r="H28" s="24" t="s">
        <v>29</v>
      </c>
    </row>
    <row r="29" spans="1:22" ht="36" customHeight="1" thickBot="1" x14ac:dyDescent="0.25">
      <c r="A29" s="29"/>
      <c r="B29" s="30" t="str">
        <f>'Control Entry'!N62</f>
        <v/>
      </c>
      <c r="C29" s="30" t="str">
        <f>'Control Entry'!O62</f>
        <v/>
      </c>
      <c r="D29" s="31"/>
      <c r="E29" s="32" t="str">
        <f>IF(ISBLANK('Control Entry'!H62),"",'Control Entry'!H62)</f>
        <v/>
      </c>
      <c r="F29" s="88" t="str">
        <f>IF(ISBLANK('Control Entry'!K62),"",'Control Entry'!K62)</f>
        <v/>
      </c>
      <c r="G29" s="87"/>
      <c r="H29" s="24" t="s">
        <v>29</v>
      </c>
      <c r="M29" s="136" t="s">
        <v>42</v>
      </c>
      <c r="N29" s="136"/>
      <c r="O29" s="136"/>
      <c r="P29" s="136"/>
      <c r="Q29" s="136"/>
      <c r="R29" s="136"/>
      <c r="S29" s="136"/>
      <c r="T29" s="136"/>
      <c r="U29" s="49"/>
    </row>
    <row r="30" spans="1:22" ht="36" customHeight="1" x14ac:dyDescent="0.2">
      <c r="A30" s="25"/>
      <c r="B30" s="26" t="str">
        <f>'Control Entry'!N63</f>
        <v/>
      </c>
      <c r="C30" s="26" t="str">
        <f>'Control Entry'!O63</f>
        <v/>
      </c>
      <c r="D30" s="33"/>
      <c r="E30" s="28" t="str">
        <f>IF(ISBLANK('Control Entry'!F63),"",'Control Entry'!F63)</f>
        <v/>
      </c>
      <c r="F30" s="84" t="str">
        <f>IF(ISBLANK('Control Entry'!I63),"",'Control Entry'!I63)</f>
        <v/>
      </c>
      <c r="G30" s="85"/>
      <c r="H30" s="24" t="s">
        <v>29</v>
      </c>
      <c r="M30" s="16"/>
      <c r="N30" s="18"/>
      <c r="O30" s="18"/>
      <c r="P30" s="19"/>
      <c r="Q30" s="16"/>
      <c r="R30" s="18"/>
      <c r="S30" s="18"/>
      <c r="T30" s="19"/>
    </row>
    <row r="31" spans="1:22" ht="36" customHeight="1" x14ac:dyDescent="0.2">
      <c r="A31" s="34" t="str">
        <f>IF(ISBLANK('Control Entry'!D63),"",'Control Entry'!D63)</f>
        <v/>
      </c>
      <c r="B31" s="35" t="str">
        <f>'Control Entry'!N63</f>
        <v/>
      </c>
      <c r="C31" s="35" t="str">
        <f>'Control Entry'!O63</f>
        <v/>
      </c>
      <c r="D31" s="36" t="str">
        <f>IF(ISBLANK('Control Entry'!E63),"",'Control Entry'!E63)</f>
        <v/>
      </c>
      <c r="E31" s="28" t="str">
        <f>IF(ISBLANK('Control Entry'!G63),"",'Control Entry'!G63)</f>
        <v/>
      </c>
      <c r="F31" s="84" t="str">
        <f>IF(ISBLANK('Control Entry'!J63),"",'Control Entry'!J63)</f>
        <v/>
      </c>
      <c r="G31" s="85"/>
      <c r="H31" s="24" t="s">
        <v>29</v>
      </c>
      <c r="M31" s="17"/>
      <c r="P31" s="20"/>
      <c r="Q31" s="17"/>
      <c r="T31" s="20"/>
    </row>
    <row r="32" spans="1:22" ht="36" customHeight="1" thickBot="1" x14ac:dyDescent="0.25">
      <c r="A32" s="29"/>
      <c r="B32" s="30" t="str">
        <f>'Control Entry'!N63</f>
        <v/>
      </c>
      <c r="C32" s="30" t="str">
        <f>'Control Entry'!O63</f>
        <v/>
      </c>
      <c r="D32" s="31"/>
      <c r="E32" s="32" t="str">
        <f>IF(ISBLANK('Control Entry'!H63),"",'Control Entry'!H63)</f>
        <v/>
      </c>
      <c r="F32" s="88" t="str">
        <f>IF(ISBLANK('Control Entry'!K63),"",'Control Entry'!K63)</f>
        <v/>
      </c>
      <c r="G32" s="87"/>
      <c r="H32" s="24" t="s">
        <v>29</v>
      </c>
      <c r="M32" s="128" t="s">
        <v>82</v>
      </c>
      <c r="N32" s="129"/>
      <c r="O32" s="129"/>
      <c r="P32" s="130"/>
      <c r="Q32" s="131">
        <f>'Control Entry'!B3</f>
        <v>44700</v>
      </c>
      <c r="R32" s="132"/>
      <c r="S32" s="132"/>
      <c r="T32" s="133"/>
    </row>
    <row r="33" spans="1:22" ht="36" customHeight="1" x14ac:dyDescent="0.2">
      <c r="A33" s="123" t="s">
        <v>43</v>
      </c>
      <c r="B33" s="123"/>
      <c r="C33" s="123"/>
      <c r="D33" s="123"/>
      <c r="E33" s="123"/>
      <c r="F33" s="123"/>
      <c r="G33" s="123"/>
      <c r="H33" s="37"/>
      <c r="I33" s="37"/>
      <c r="M33" s="137" t="s">
        <v>86</v>
      </c>
      <c r="N33" s="138"/>
      <c r="O33" s="138"/>
      <c r="P33" s="138"/>
      <c r="Q33" s="139">
        <f>'Control Entry'!B4</f>
        <v>44870</v>
      </c>
      <c r="R33" s="126"/>
      <c r="S33" s="126"/>
      <c r="T33" s="126"/>
      <c r="U33" s="81"/>
      <c r="V33" s="44"/>
    </row>
    <row r="34" spans="1:22" ht="36" customHeight="1" x14ac:dyDescent="0.2">
      <c r="A34"/>
      <c r="O34" s="15"/>
      <c r="P34" s="15"/>
      <c r="Q34" s="15"/>
      <c r="R34" s="42"/>
    </row>
    <row r="35" spans="1:22" ht="36" customHeight="1" x14ac:dyDescent="0.2">
      <c r="A35"/>
      <c r="N35" s="136"/>
      <c r="O35" s="136"/>
      <c r="P35" s="136"/>
      <c r="Q35" s="136"/>
      <c r="R35" s="136"/>
      <c r="S35" s="136"/>
      <c r="T35" s="136"/>
      <c r="U35" s="136"/>
    </row>
    <row r="36" spans="1:22" ht="36" customHeight="1" x14ac:dyDescent="0.15">
      <c r="A36"/>
    </row>
    <row r="37" spans="1:22" ht="36" customHeight="1" x14ac:dyDescent="0.15">
      <c r="A37"/>
    </row>
    <row r="38" spans="1:22" ht="36" customHeight="1" x14ac:dyDescent="0.2">
      <c r="A38"/>
      <c r="N38" s="15"/>
    </row>
    <row r="39" spans="1:22" ht="36" customHeight="1" x14ac:dyDescent="0.15">
      <c r="A39"/>
    </row>
    <row r="40" spans="1:22" ht="36" customHeight="1" x14ac:dyDescent="0.15">
      <c r="A40"/>
    </row>
  </sheetData>
  <sheetProtection algorithmName="SHA-512" hashValue="m+5DxS5z0jGPz2enrJCRgFwjkf0y6S+KVRFuN1IjzuBtg7DxgRkCvJA9CD6YWcWRfvJNtgkjCl2dSguY7geJVQ==" saltValue="ged3XotTQX8HcL4AYG6aUg==" spinCount="100000" sheet="1" objects="1" scenarios="1" formatCells="0" selectLockedCells="1"/>
  <mergeCells count="42">
    <mergeCell ref="A33:G33"/>
    <mergeCell ref="M33:P33"/>
    <mergeCell ref="Q33:T33"/>
    <mergeCell ref="N35:U35"/>
    <mergeCell ref="K27:L27"/>
    <mergeCell ref="N27:O27"/>
    <mergeCell ref="P27:Q27"/>
    <mergeCell ref="S27:T27"/>
    <mergeCell ref="U27:V27"/>
    <mergeCell ref="M29:T29"/>
    <mergeCell ref="M32:P32"/>
    <mergeCell ref="Q32:T32"/>
    <mergeCell ref="J25:N25"/>
    <mergeCell ref="P25:Q25"/>
    <mergeCell ref="S25:T25"/>
    <mergeCell ref="U25:V25"/>
    <mergeCell ref="L12:N12"/>
    <mergeCell ref="S12:U12"/>
    <mergeCell ref="L13:N13"/>
    <mergeCell ref="R13:U13"/>
    <mergeCell ref="L15:U15"/>
    <mergeCell ref="L16:U16"/>
    <mergeCell ref="L20:N20"/>
    <mergeCell ref="S20:U20"/>
    <mergeCell ref="S22:U22"/>
    <mergeCell ref="J24:N24"/>
    <mergeCell ref="S24:U24"/>
    <mergeCell ref="M22:O22"/>
    <mergeCell ref="J21:U21"/>
    <mergeCell ref="L11:N11"/>
    <mergeCell ref="S11:U11"/>
    <mergeCell ref="A1:G1"/>
    <mergeCell ref="K2:U2"/>
    <mergeCell ref="O3:R3"/>
    <mergeCell ref="M4:T4"/>
    <mergeCell ref="N5:O5"/>
    <mergeCell ref="R5:U5"/>
    <mergeCell ref="L6:U6"/>
    <mergeCell ref="L8:Q8"/>
    <mergeCell ref="T8:U8"/>
    <mergeCell ref="L9:U9"/>
    <mergeCell ref="L10:U10"/>
  </mergeCells>
  <conditionalFormatting sqref="K27:V27">
    <cfRule type="expression" dxfId="6" priority="7">
      <formula>$S$3="#2"</formula>
    </cfRule>
    <cfRule type="expression" dxfId="5" priority="8">
      <formula>$S$3="#4"</formula>
    </cfRule>
  </conditionalFormatting>
  <conditionalFormatting sqref="P22:U24">
    <cfRule type="expression" dxfId="4" priority="5">
      <formula>$S$3="#2"</formula>
    </cfRule>
    <cfRule type="expression" dxfId="3" priority="6">
      <formula>$S$3="#4"</formula>
    </cfRule>
  </conditionalFormatting>
  <conditionalFormatting sqref="J22:O22">
    <cfRule type="expression" dxfId="2" priority="3">
      <formula>$S$3="#2"</formula>
    </cfRule>
    <cfRule type="expression" dxfId="1" priority="4">
      <formula>$S$3="#4"</formula>
    </cfRule>
  </conditionalFormatting>
  <conditionalFormatting sqref="J21:U21">
    <cfRule type="expression" dxfId="0" priority="2">
      <formula>AND($S$3&lt;&gt;"#2",$S$3&lt;&gt;"#4")</formula>
    </cfRule>
  </conditionalFormatting>
  <printOptions horizontalCentered="1" verticalCentered="1"/>
  <pageMargins left="0.2" right="0.2" top="0.2" bottom="0.2" header="0.51" footer="0.51"/>
  <pageSetup scale="44" orientation="landscape" horizontalDpi="4294967292" verticalDpi="4294967292"/>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30</vt:i4>
      </vt:variant>
    </vt:vector>
  </HeadingPairs>
  <TitlesOfParts>
    <vt:vector size="35" baseType="lpstr">
      <vt:lpstr>Control Entry</vt:lpstr>
      <vt:lpstr>Control Card #1</vt:lpstr>
      <vt:lpstr>Control Card #2</vt:lpstr>
      <vt:lpstr>Control Card #3</vt:lpstr>
      <vt:lpstr>Control Card #4</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'Control Card #1'!Print_Titles</vt:lpstr>
      <vt:lpstr>'Control Card #2'!Print_Titles</vt:lpstr>
      <vt:lpstr>'Control Card #3'!Print_Titles</vt:lpstr>
      <vt:lpstr>'Control Card #4'!Print_Titles</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Microsoft Office User</cp:lastModifiedBy>
  <cp:lastPrinted>2022-10-07T02:55:23Z</cp:lastPrinted>
  <dcterms:created xsi:type="dcterms:W3CDTF">1997-11-12T04:43:39Z</dcterms:created>
  <dcterms:modified xsi:type="dcterms:W3CDTF">2023-02-12T19:44:14Z</dcterms:modified>
</cp:coreProperties>
</file>